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126238\Desktop\CKY Compiled FOR FILING\2016-11-11 Post Hearing DRs\"/>
    </mc:Choice>
  </mc:AlternateContent>
  <bookViews>
    <workbookView xWindow="1548" yWindow="180" windowWidth="15732" windowHeight="6576" tabRatio="912" firstSheet="6" activeTab="7"/>
  </bookViews>
  <sheets>
    <sheet name="INDEX M" sheetId="24" r:id="rId1"/>
    <sheet name="Input" sheetId="1" r:id="rId2"/>
    <sheet name="A" sheetId="23" r:id="rId3"/>
    <sheet name="B" sheetId="2" r:id="rId4"/>
    <sheet name="C" sheetId="3" r:id="rId5"/>
    <sheet name="D pg 1" sheetId="5" r:id="rId6"/>
    <sheet name="D pg 2" sheetId="15" r:id="rId7"/>
    <sheet name="Sch M" sheetId="22" r:id="rId8"/>
    <sheet name="Sch M 2.1" sheetId="14" r:id="rId9"/>
    <sheet name="Sch M 2.2" sheetId="8" r:id="rId10"/>
    <sheet name="Sch M 2.3" sheetId="20" r:id="rId11"/>
    <sheet name="Rate Design MPB-1" sheetId="26" r:id="rId12"/>
    <sheet name="Bill Comp MPB-4" sheetId="28" r:id="rId13"/>
    <sheet name="Late Payment MPB-2" sheetId="19" r:id="rId14"/>
    <sheet name="Rates MPB-3" sheetId="27" r:id="rId15"/>
    <sheet name="Revenue Proof" sheetId="29" r:id="rId16"/>
    <sheet name="Macros" sheetId="16" state="veryHidden" r:id="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>'[1]TRANSPORTS-revised'!#REF!</definedName>
    <definedName name="\C">#REF!</definedName>
    <definedName name="\f">'[2]E-2'!#REF!</definedName>
    <definedName name="\P" localSheetId="11">'[3]SCHEDULE 33 A REV.'!$B$83:$B$87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'[4]Rev Def Sum'!#REF!</definedName>
    <definedName name="__sch17">#REF!</definedName>
    <definedName name="__SCH33">'[5]SCHEDULE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localSheetId="0" hidden="1">1</definedName>
    <definedName name="_Regression_Int" hidden="1">1</definedName>
    <definedName name="_SCH10">'[6]Rev Def Sum'!#REF!</definedName>
    <definedName name="_sch17">#REF!</definedName>
    <definedName name="_SCH33">'[3]SCHEDULE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 localSheetId="2">[15]Input!#REF!</definedName>
    <definedName name="Bank" localSheetId="0">[15]Input!#REF!</definedName>
    <definedName name="Bank" localSheetId="15">[16]Input!#REF!</definedName>
    <definedName name="Bank" localSheetId="7">[15]Input!#REF!</definedName>
    <definedName name="Bank" localSheetId="10">Input!#REF!</definedName>
    <definedName name="Bank">Input!#REF!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 localSheetId="2">[15]Input!$B$12</definedName>
    <definedName name="case" localSheetId="0">'[17]Operating Income Summary C-1'!$A$2</definedName>
    <definedName name="case" localSheetId="7">[15]Input!$B$12</definedName>
    <definedName name="case">Input!$B$6</definedName>
    <definedName name="CCCfeeadj">'[10]L Graph (Data)'!$A$410:$DS$457</definedName>
    <definedName name="CCCvoladj">'[10]L Graph (Data)'!$A$359:$DS$406</definedName>
    <definedName name="Central_Call_Handling_Charge">'[21]Router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LUMN1">#REF!</definedName>
    <definedName name="COLUMN2">#REF!</definedName>
    <definedName name="Commodity" localSheetId="2">[15]Input!$C$16</definedName>
    <definedName name="Commodity" localSheetId="0">[15]Input!$C$16</definedName>
    <definedName name="Commodity" localSheetId="7">[15]Input!$C$16</definedName>
    <definedName name="Commodity">Input!$C$10</definedName>
    <definedName name="Companies">#REF!</definedName>
    <definedName name="company">'[17]Operating Income Summary C-1'!$A$1</definedName>
    <definedName name="CONAME" localSheetId="2">[15]B!$A$1</definedName>
    <definedName name="CONAME" localSheetId="0">[15]B!$A$1</definedName>
    <definedName name="coname" localSheetId="11">'[22]4-B'!$A$1</definedName>
    <definedName name="CONAME" localSheetId="7">[15]B!$A$1</definedName>
    <definedName name="CONAME">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'[6]Rev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 localSheetId="2">[15]Input!$C$17</definedName>
    <definedName name="EGC" localSheetId="0">[15]Input!$C$17</definedName>
    <definedName name="EGC" localSheetId="7">[15]Input!$C$17</definedName>
    <definedName name="EGC">Input!$C$11</definedName>
    <definedName name="EGCDATE" localSheetId="2">[15]Input!$C$20</definedName>
    <definedName name="EGCDATE" localSheetId="0">[15]Input!$C$20</definedName>
    <definedName name="EGCDATE" localSheetId="7">[15]Input!$C$20</definedName>
    <definedName name="EGCDATE">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'[6]Rev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irmcom" localSheetId="15">[16]Input!$C$18</definedName>
    <definedName name="firmcom">Input!$C$12</definedName>
    <definedName name="firmdem" localSheetId="15">[16]Input!$C$19</definedName>
    <definedName name="firmdem">Input!$C$13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" localSheetId="11">#REF!</definedName>
    <definedName name="HEAD">Input!$A$1:$C$15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'[6]Rev Def Sum'!#REF!</definedName>
    <definedName name="INCTAX2">'[6]Rev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"V2007-09-30"</definedName>
    <definedName name="NvsASD_1">"V2007-09-30"</definedName>
    <definedName name="NvsASD_1_1">"V2012-06-30"</definedName>
    <definedName name="NvsAutoDrillOk">"VN"</definedName>
    <definedName name="NvsElapsedTime">0.000219907407881692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39363.4914467593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_1">"V00012"</definedName>
    <definedName name="NvsReqBUOnly">"VY"</definedName>
    <definedName name="NvsReqBUOnly_1">"VY"</definedName>
    <definedName name="NvsStyleNme">"NiSource Corporate.xls"</definedName>
    <definedName name="NvsTransLed">"VN"</definedName>
    <definedName name="NvsTreeASD">"V2007-09-30"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 localSheetId="11">'[29]Rate Base Summary Sch B-1'!#REF!</definedName>
    <definedName name="PAGE2">#REF!</definedName>
    <definedName name="PAGE3" localSheetId="11">#REF!</definedName>
    <definedName name="PAGE3">#REF!</definedName>
    <definedName name="PAGE4" localSheetId="11">#REF!</definedName>
    <definedName name="PAGE4">#REF!</definedName>
    <definedName name="PAGE5" localSheetId="11">'[30]B-2.3'!#REF!</definedName>
    <definedName name="PAGE5">'[30]B-2.3'!#REF!</definedName>
    <definedName name="PAGE6" localSheetId="11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2">A!$A$1:$P$58</definedName>
    <definedName name="_xlnm.Print_Area" localSheetId="3">B!$A$1:$P$302</definedName>
    <definedName name="_xlnm.Print_Area" localSheetId="12">'Bill Comp MPB-4'!$A$1:$F$245</definedName>
    <definedName name="_xlnm.Print_Area" localSheetId="4">'C'!$A$1:$P$449</definedName>
    <definedName name="_xlnm.Print_Area" localSheetId="5">'D pg 1'!$A$1:$P$68</definedName>
    <definedName name="_xlnm.Print_Area" localSheetId="6">'D pg 2'!$A$1:$R$62</definedName>
    <definedName name="_xlnm.Print_Area" localSheetId="0">'INDEX M'!$A$1:$C$26</definedName>
    <definedName name="_xlnm.Print_Area" localSheetId="1">Input!$A$1:$AA$55</definedName>
    <definedName name="_xlnm.Print_Area" localSheetId="13">'Late Payment MPB-2'!$A$1:$G$59</definedName>
    <definedName name="_xlnm.Print_Area" localSheetId="11">'Rate Design MPB-1'!$A$1:$K$289</definedName>
    <definedName name="_xlnm.Print_Area" localSheetId="14">'Rates MPB-3'!$A$1:$F$36</definedName>
    <definedName name="_xlnm.Print_Area" localSheetId="15">'Revenue Proof'!$A$1:$L$318</definedName>
    <definedName name="_xlnm.Print_Area" localSheetId="7">'Sch M'!$A$1:$T$93</definedName>
    <definedName name="_xlnm.Print_Area" localSheetId="8">'Sch M 2.1'!$A$1:$J$64</definedName>
    <definedName name="_xlnm.Print_Area" localSheetId="9">'Sch M 2.2'!$A$1:$Q$1256</definedName>
    <definedName name="_xlnm.Print_Area" localSheetId="10">'Sch M 2.3'!$A$1:$Q$1254</definedName>
    <definedName name="Print_Area_MI" localSheetId="11">#REF!</definedName>
    <definedName name="Print_Area_MI">'INDEX M'!$A$1:$N$41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'[6]Rev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'[3]ATTACH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 localSheetId="2">[15]Input!#REF!</definedName>
    <definedName name="SAS_GasCost" localSheetId="0">[15]Input!#REF!</definedName>
    <definedName name="SAS_GasCost" localSheetId="15">[16]Input!#REF!</definedName>
    <definedName name="SAS_GasCost" localSheetId="7">[15]Input!#REF!</definedName>
    <definedName name="SAS_GasCost" localSheetId="10">Input!#REF!</definedName>
    <definedName name="SAS_GasCost">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 localSheetId="2">[15]B!#REF!</definedName>
    <definedName name="TY" localSheetId="0">[15]B!#REF!</definedName>
    <definedName name="TY" localSheetId="7">[15]B!#REF!</definedName>
    <definedName name="TY" localSheetId="10">B!#REF!</definedName>
    <definedName name="TY">B!#REF!</definedName>
    <definedName name="TYDESC" localSheetId="2">[15]B!$A$3</definedName>
    <definedName name="TYDESC" localSheetId="0">[15]B!$A$3</definedName>
    <definedName name="TYDESC" localSheetId="11">[33]Summary!$A$3</definedName>
    <definedName name="TYDESC" localSheetId="7">[15]B!$A$3</definedName>
    <definedName name="TYDESC">B!$A$3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 localSheetId="2">[15]Input!$B$14</definedName>
    <definedName name="Witness" localSheetId="0">[15]Input!$B$14</definedName>
    <definedName name="Witness" localSheetId="11">[8]Sch1!$G$4</definedName>
    <definedName name="Witness" localSheetId="7">[15]Input!$B$14</definedName>
    <definedName name="Witness">Input!$B$8</definedName>
    <definedName name="WORKAREA">'[3]ATTACH REH-5A REV'!$B$52:$K$169</definedName>
    <definedName name="WorkingDaysPerYear">210</definedName>
    <definedName name="Xref">'[35]xref acct'!$A$3:$C$167</definedName>
  </definedNames>
  <calcPr calcId="152511"/>
</workbook>
</file>

<file path=xl/calcChain.xml><?xml version="1.0" encoding="utf-8"?>
<calcChain xmlns="http://schemas.openxmlformats.org/spreadsheetml/2006/main">
  <c r="I260" i="29" l="1"/>
  <c r="I259" i="29"/>
  <c r="D260" i="29"/>
  <c r="D259" i="29"/>
  <c r="E260" i="29"/>
  <c r="F260" i="29" s="1"/>
  <c r="H260" i="29" s="1"/>
  <c r="J260" i="29"/>
  <c r="K260" i="29" l="1"/>
  <c r="J287" i="29"/>
  <c r="F292" i="29"/>
  <c r="F290" i="29"/>
  <c r="F288" i="29"/>
  <c r="F289" i="29"/>
  <c r="F287" i="29"/>
  <c r="F283" i="29"/>
  <c r="E282" i="29"/>
  <c r="E281" i="29"/>
  <c r="E280" i="29"/>
  <c r="E279" i="29"/>
  <c r="D282" i="29"/>
  <c r="D281" i="29"/>
  <c r="C279" i="29"/>
  <c r="E261" i="29"/>
  <c r="E259" i="29"/>
  <c r="E258" i="29"/>
  <c r="E257" i="29"/>
  <c r="E256" i="29"/>
  <c r="D258" i="29"/>
  <c r="C256" i="29"/>
  <c r="E252" i="29"/>
  <c r="E251" i="29"/>
  <c r="E250" i="29"/>
  <c r="E249" i="29"/>
  <c r="D252" i="29"/>
  <c r="D251" i="29"/>
  <c r="C249" i="29"/>
  <c r="E245" i="29"/>
  <c r="E244" i="29"/>
  <c r="E243" i="29"/>
  <c r="D245" i="29"/>
  <c r="C243" i="29"/>
  <c r="E239" i="29"/>
  <c r="E238" i="29"/>
  <c r="E237" i="29"/>
  <c r="D239" i="29"/>
  <c r="C237" i="29"/>
  <c r="E233" i="29"/>
  <c r="E232" i="29"/>
  <c r="E231" i="29"/>
  <c r="D233" i="29"/>
  <c r="C231" i="29" l="1"/>
  <c r="I226" i="29"/>
  <c r="I225" i="29"/>
  <c r="E227" i="29"/>
  <c r="E226" i="29"/>
  <c r="E225" i="29"/>
  <c r="D227" i="29"/>
  <c r="C225" i="29"/>
  <c r="D206" i="29"/>
  <c r="D207" i="29"/>
  <c r="D208" i="29"/>
  <c r="D205" i="29"/>
  <c r="C203" i="29"/>
  <c r="I199" i="29"/>
  <c r="I194" i="29"/>
  <c r="E199" i="29"/>
  <c r="E196" i="29"/>
  <c r="E197" i="29"/>
  <c r="E198" i="29"/>
  <c r="E195" i="29"/>
  <c r="E194" i="29"/>
  <c r="E193" i="29"/>
  <c r="D196" i="29"/>
  <c r="D197" i="29"/>
  <c r="D198" i="29"/>
  <c r="D195" i="29"/>
  <c r="C193" i="29"/>
  <c r="E189" i="29"/>
  <c r="E187" i="29"/>
  <c r="E188" i="29"/>
  <c r="E186" i="29"/>
  <c r="E185" i="29"/>
  <c r="E184" i="29"/>
  <c r="D187" i="29"/>
  <c r="D188" i="29"/>
  <c r="D186" i="29"/>
  <c r="C184" i="29"/>
  <c r="I180" i="29"/>
  <c r="I176" i="29"/>
  <c r="E180" i="29"/>
  <c r="E178" i="29"/>
  <c r="E179" i="29"/>
  <c r="E177" i="29"/>
  <c r="E176" i="29"/>
  <c r="E175" i="29"/>
  <c r="D178" i="29"/>
  <c r="D179" i="29"/>
  <c r="D177" i="29"/>
  <c r="C175" i="29"/>
  <c r="D156" i="29"/>
  <c r="D157" i="29"/>
  <c r="D158" i="29"/>
  <c r="D155" i="29"/>
  <c r="C154" i="29"/>
  <c r="I150" i="29"/>
  <c r="E150" i="29"/>
  <c r="E147" i="29"/>
  <c r="E148" i="29"/>
  <c r="E149" i="29"/>
  <c r="E146" i="29"/>
  <c r="E145" i="29"/>
  <c r="D147" i="29"/>
  <c r="D148" i="29"/>
  <c r="D149" i="29"/>
  <c r="D146" i="29"/>
  <c r="C145" i="29"/>
  <c r="I139" i="29"/>
  <c r="E141" i="29"/>
  <c r="E140" i="29"/>
  <c r="E139" i="29"/>
  <c r="E138" i="29"/>
  <c r="E137" i="29"/>
  <c r="D138" i="29"/>
  <c r="C137" i="29"/>
  <c r="I131" i="29"/>
  <c r="I130" i="29"/>
  <c r="I129" i="29"/>
  <c r="I128" i="29"/>
  <c r="G131" i="29"/>
  <c r="E132" i="29"/>
  <c r="E131" i="29"/>
  <c r="E130" i="29"/>
  <c r="E129" i="29"/>
  <c r="E128" i="29"/>
  <c r="D129" i="29"/>
  <c r="C128" i="29"/>
  <c r="G123" i="29"/>
  <c r="I123" i="29"/>
  <c r="I122" i="29"/>
  <c r="I120" i="29"/>
  <c r="I121" i="29"/>
  <c r="I119" i="29"/>
  <c r="I118" i="29"/>
  <c r="E124" i="29"/>
  <c r="E123" i="29"/>
  <c r="E122" i="29"/>
  <c r="E120" i="29"/>
  <c r="E121" i="29"/>
  <c r="E119" i="29"/>
  <c r="E118" i="29"/>
  <c r="D120" i="29"/>
  <c r="D121" i="29"/>
  <c r="D119" i="29"/>
  <c r="C118" i="29"/>
  <c r="G102" i="29"/>
  <c r="G91" i="29"/>
  <c r="D98" i="29"/>
  <c r="D99" i="29"/>
  <c r="D100" i="29"/>
  <c r="D97" i="29"/>
  <c r="C96" i="29"/>
  <c r="I91" i="29"/>
  <c r="I90" i="29"/>
  <c r="I89" i="29"/>
  <c r="I88" i="29"/>
  <c r="I87" i="29"/>
  <c r="I86" i="29"/>
  <c r="I85" i="29"/>
  <c r="E92" i="29"/>
  <c r="E91" i="29"/>
  <c r="E90" i="29"/>
  <c r="E89" i="29"/>
  <c r="E88" i="29"/>
  <c r="E87" i="29"/>
  <c r="E86" i="29"/>
  <c r="E85" i="29"/>
  <c r="E96" i="29" s="1"/>
  <c r="D89" i="29"/>
  <c r="D88" i="29"/>
  <c r="D87" i="29"/>
  <c r="D86" i="29"/>
  <c r="C85" i="29"/>
  <c r="E81" i="29"/>
  <c r="E80" i="29"/>
  <c r="D81" i="29"/>
  <c r="C80" i="29"/>
  <c r="E76" i="29"/>
  <c r="E75" i="29"/>
  <c r="E74" i="29"/>
  <c r="D76" i="29"/>
  <c r="D75" i="29"/>
  <c r="C74" i="29"/>
  <c r="E70" i="29"/>
  <c r="E69" i="29"/>
  <c r="D70" i="29"/>
  <c r="C69" i="29"/>
  <c r="E65" i="29"/>
  <c r="E64" i="29"/>
  <c r="D65" i="29"/>
  <c r="C64" i="29"/>
  <c r="I17" i="29" l="1"/>
  <c r="I14" i="29"/>
  <c r="I13" i="29"/>
  <c r="I138" i="29" s="1"/>
  <c r="J138" i="29" s="1"/>
  <c r="I12" i="29"/>
  <c r="I137" i="29" s="1"/>
  <c r="J137" i="29" s="1"/>
  <c r="J317" i="29"/>
  <c r="J316" i="29"/>
  <c r="F317" i="29"/>
  <c r="F316" i="29"/>
  <c r="K316" i="29" s="1"/>
  <c r="E50" i="29"/>
  <c r="E49" i="29"/>
  <c r="D50" i="29"/>
  <c r="F50" i="29" s="1"/>
  <c r="H50" i="29" s="1"/>
  <c r="C49" i="29"/>
  <c r="F49" i="29" s="1"/>
  <c r="H49" i="29" s="1"/>
  <c r="E44" i="29"/>
  <c r="I44" i="29" s="1"/>
  <c r="D45" i="29"/>
  <c r="C44" i="29"/>
  <c r="F44" i="29" s="1"/>
  <c r="F46" i="29" s="1"/>
  <c r="E35" i="29"/>
  <c r="I35" i="29" s="1"/>
  <c r="J35" i="29" s="1"/>
  <c r="E34" i="29"/>
  <c r="D35" i="29"/>
  <c r="C34" i="29"/>
  <c r="E30" i="29"/>
  <c r="I30" i="29" s="1"/>
  <c r="J30" i="29" s="1"/>
  <c r="E29" i="29"/>
  <c r="E28" i="29"/>
  <c r="D29" i="29"/>
  <c r="F30" i="29" s="1"/>
  <c r="H30" i="29" s="1"/>
  <c r="C28" i="29"/>
  <c r="F28" i="29" s="1"/>
  <c r="H28" i="29" s="1"/>
  <c r="E24" i="29"/>
  <c r="I24" i="29" s="1"/>
  <c r="E23" i="29"/>
  <c r="E22" i="29"/>
  <c r="I22" i="29" s="1"/>
  <c r="J22" i="29" s="1"/>
  <c r="D23" i="29"/>
  <c r="F23" i="29" s="1"/>
  <c r="C22" i="29"/>
  <c r="G17" i="29"/>
  <c r="E18" i="29"/>
  <c r="F18" i="29" s="1"/>
  <c r="E17" i="29"/>
  <c r="F17" i="29" s="1"/>
  <c r="E16" i="29"/>
  <c r="F16" i="29" s="1"/>
  <c r="E15" i="29"/>
  <c r="E13" i="29"/>
  <c r="E14" i="29"/>
  <c r="E12" i="29"/>
  <c r="D13" i="29"/>
  <c r="C12" i="29"/>
  <c r="J14" i="29" s="1"/>
  <c r="K317" i="29"/>
  <c r="C310" i="29"/>
  <c r="C309" i="29"/>
  <c r="D308" i="29"/>
  <c r="C308" i="29"/>
  <c r="C307" i="29"/>
  <c r="G297" i="29"/>
  <c r="F293" i="29"/>
  <c r="F301" i="29" s="1"/>
  <c r="F311" i="29" s="1"/>
  <c r="J292" i="29"/>
  <c r="K292" i="29" s="1"/>
  <c r="H292" i="29"/>
  <c r="K291" i="29"/>
  <c r="J291" i="29"/>
  <c r="H291" i="29"/>
  <c r="J290" i="29"/>
  <c r="H290" i="29"/>
  <c r="J289" i="29"/>
  <c r="H289" i="29"/>
  <c r="K289" i="29" s="1"/>
  <c r="J288" i="29"/>
  <c r="H288" i="29"/>
  <c r="K288" i="29" s="1"/>
  <c r="J293" i="29"/>
  <c r="J301" i="29" s="1"/>
  <c r="H287" i="29"/>
  <c r="D284" i="29"/>
  <c r="J283" i="29"/>
  <c r="H283" i="29"/>
  <c r="I282" i="29"/>
  <c r="J282" i="29" s="1"/>
  <c r="F282" i="29"/>
  <c r="H282" i="29" s="1"/>
  <c r="I281" i="29"/>
  <c r="J281" i="29" s="1"/>
  <c r="F281" i="29"/>
  <c r="H281" i="29" s="1"/>
  <c r="I280" i="29"/>
  <c r="C280" i="29"/>
  <c r="F280" i="29" s="1"/>
  <c r="H280" i="29" s="1"/>
  <c r="I279" i="29"/>
  <c r="J279" i="29" s="1"/>
  <c r="F279" i="29"/>
  <c r="H279" i="29" s="1"/>
  <c r="A270" i="29"/>
  <c r="A267" i="29"/>
  <c r="D262" i="29"/>
  <c r="I261" i="29"/>
  <c r="J261" i="29" s="1"/>
  <c r="F261" i="29"/>
  <c r="H261" i="29" s="1"/>
  <c r="F259" i="29"/>
  <c r="H259" i="29" s="1"/>
  <c r="F258" i="29"/>
  <c r="H258" i="29" s="1"/>
  <c r="C257" i="29"/>
  <c r="J257" i="29" s="1"/>
  <c r="F256" i="29"/>
  <c r="H256" i="29" s="1"/>
  <c r="D253" i="29"/>
  <c r="D309" i="29" s="1"/>
  <c r="I252" i="29"/>
  <c r="J252" i="29" s="1"/>
  <c r="F252" i="29"/>
  <c r="H252" i="29" s="1"/>
  <c r="I251" i="29"/>
  <c r="J251" i="29" s="1"/>
  <c r="F251" i="29"/>
  <c r="H251" i="29" s="1"/>
  <c r="I250" i="29"/>
  <c r="C250" i="29"/>
  <c r="F250" i="29" s="1"/>
  <c r="H250" i="29" s="1"/>
  <c r="I249" i="29"/>
  <c r="J249" i="29" s="1"/>
  <c r="F249" i="29"/>
  <c r="I245" i="29"/>
  <c r="J245" i="29" s="1"/>
  <c r="F245" i="29"/>
  <c r="H245" i="29" s="1"/>
  <c r="I244" i="29"/>
  <c r="C244" i="29"/>
  <c r="F244" i="29" s="1"/>
  <c r="H244" i="29" s="1"/>
  <c r="I243" i="29"/>
  <c r="J243" i="29" s="1"/>
  <c r="F243" i="29"/>
  <c r="I239" i="29"/>
  <c r="J239" i="29" s="1"/>
  <c r="F239" i="29"/>
  <c r="H239" i="29" s="1"/>
  <c r="I238" i="29"/>
  <c r="C238" i="29"/>
  <c r="F238" i="29" s="1"/>
  <c r="H238" i="29" s="1"/>
  <c r="I237" i="29"/>
  <c r="J237" i="29" s="1"/>
  <c r="F237" i="29"/>
  <c r="I233" i="29"/>
  <c r="J233" i="29" s="1"/>
  <c r="F233" i="29"/>
  <c r="H233" i="29" s="1"/>
  <c r="I232" i="29"/>
  <c r="C232" i="29"/>
  <c r="F232" i="29" s="1"/>
  <c r="H232" i="29" s="1"/>
  <c r="I231" i="29"/>
  <c r="J231" i="29" s="1"/>
  <c r="F231" i="29"/>
  <c r="J227" i="29"/>
  <c r="F227" i="29"/>
  <c r="H227" i="29" s="1"/>
  <c r="K227" i="29" s="1"/>
  <c r="C226" i="29"/>
  <c r="J226" i="29" s="1"/>
  <c r="J225" i="29"/>
  <c r="F225" i="29"/>
  <c r="A215" i="29"/>
  <c r="A212" i="29"/>
  <c r="D210" i="29"/>
  <c r="I209" i="29"/>
  <c r="E209" i="29"/>
  <c r="F209" i="29" s="1"/>
  <c r="H209" i="29" s="1"/>
  <c r="E208" i="29"/>
  <c r="F208" i="29" s="1"/>
  <c r="H208" i="29" s="1"/>
  <c r="E207" i="29"/>
  <c r="F207" i="29" s="1"/>
  <c r="H207" i="29" s="1"/>
  <c r="E206" i="29"/>
  <c r="F206" i="29" s="1"/>
  <c r="H206" i="29" s="1"/>
  <c r="E205" i="29"/>
  <c r="F205" i="29" s="1"/>
  <c r="H205" i="29" s="1"/>
  <c r="I204" i="29"/>
  <c r="J204" i="29" s="1"/>
  <c r="E204" i="29"/>
  <c r="C204" i="29"/>
  <c r="E203" i="29"/>
  <c r="F203" i="29" s="1"/>
  <c r="H203" i="29" s="1"/>
  <c r="D200" i="29"/>
  <c r="J199" i="29"/>
  <c r="F199" i="29"/>
  <c r="H199" i="29" s="1"/>
  <c r="F198" i="29"/>
  <c r="H198" i="29" s="1"/>
  <c r="F197" i="29"/>
  <c r="H197" i="29" s="1"/>
  <c r="F196" i="29"/>
  <c r="H196" i="29" s="1"/>
  <c r="F195" i="29"/>
  <c r="H195" i="29" s="1"/>
  <c r="C194" i="29"/>
  <c r="J194" i="29" s="1"/>
  <c r="F193" i="29"/>
  <c r="H193" i="29" s="1"/>
  <c r="D190" i="29"/>
  <c r="I189" i="29"/>
  <c r="J189" i="29" s="1"/>
  <c r="F189" i="29"/>
  <c r="H189" i="29" s="1"/>
  <c r="F188" i="29"/>
  <c r="H188" i="29" s="1"/>
  <c r="F187" i="29"/>
  <c r="H187" i="29" s="1"/>
  <c r="F186" i="29"/>
  <c r="H186" i="29" s="1"/>
  <c r="I185" i="29"/>
  <c r="C185" i="29"/>
  <c r="F185" i="29" s="1"/>
  <c r="H185" i="29" s="1"/>
  <c r="F184" i="29"/>
  <c r="H184" i="29" s="1"/>
  <c r="D181" i="29"/>
  <c r="J180" i="29"/>
  <c r="F180" i="29"/>
  <c r="H180" i="29" s="1"/>
  <c r="J179" i="29"/>
  <c r="I179" i="29"/>
  <c r="J259" i="29" s="1"/>
  <c r="F179" i="29"/>
  <c r="H179" i="29" s="1"/>
  <c r="I178" i="29"/>
  <c r="J178" i="29" s="1"/>
  <c r="F178" i="29"/>
  <c r="H178" i="29" s="1"/>
  <c r="I177" i="29"/>
  <c r="F177" i="29"/>
  <c r="H177" i="29" s="1"/>
  <c r="C176" i="29"/>
  <c r="F176" i="29" s="1"/>
  <c r="H176" i="29" s="1"/>
  <c r="J175" i="29"/>
  <c r="I175" i="29"/>
  <c r="I184" i="29" s="1"/>
  <c r="J184" i="29" s="1"/>
  <c r="F175" i="29"/>
  <c r="H175" i="29" s="1"/>
  <c r="A165" i="29"/>
  <c r="A162" i="29"/>
  <c r="D160" i="29"/>
  <c r="I159" i="29"/>
  <c r="J159" i="29" s="1"/>
  <c r="E159" i="29"/>
  <c r="F159" i="29" s="1"/>
  <c r="H159" i="29" s="1"/>
  <c r="I158" i="29"/>
  <c r="J158" i="29" s="1"/>
  <c r="E158" i="29"/>
  <c r="F158" i="29" s="1"/>
  <c r="H158" i="29" s="1"/>
  <c r="I157" i="29"/>
  <c r="J157" i="29" s="1"/>
  <c r="E157" i="29"/>
  <c r="F157" i="29" s="1"/>
  <c r="H157" i="29" s="1"/>
  <c r="I156" i="29"/>
  <c r="J156" i="29" s="1"/>
  <c r="E156" i="29"/>
  <c r="F156" i="29" s="1"/>
  <c r="H156" i="29" s="1"/>
  <c r="I155" i="29"/>
  <c r="J155" i="29" s="1"/>
  <c r="E155" i="29"/>
  <c r="F155" i="29" s="1"/>
  <c r="H155" i="29" s="1"/>
  <c r="E154" i="29"/>
  <c r="F154" i="29" s="1"/>
  <c r="H154" i="29" s="1"/>
  <c r="D151" i="29"/>
  <c r="J150" i="29"/>
  <c r="F150" i="29"/>
  <c r="H150" i="29" s="1"/>
  <c r="K150" i="29" s="1"/>
  <c r="I149" i="29"/>
  <c r="J149" i="29" s="1"/>
  <c r="F149" i="29"/>
  <c r="H149" i="29" s="1"/>
  <c r="I148" i="29"/>
  <c r="I197" i="29" s="1"/>
  <c r="F148" i="29"/>
  <c r="H148" i="29" s="1"/>
  <c r="I147" i="29"/>
  <c r="J147" i="29" s="1"/>
  <c r="K147" i="29" s="1"/>
  <c r="F147" i="29"/>
  <c r="H147" i="29" s="1"/>
  <c r="I146" i="29"/>
  <c r="I195" i="29" s="1"/>
  <c r="I205" i="29" s="1"/>
  <c r="J205" i="29" s="1"/>
  <c r="F146" i="29"/>
  <c r="H146" i="29" s="1"/>
  <c r="I145" i="29"/>
  <c r="J145" i="29" s="1"/>
  <c r="F145" i="29"/>
  <c r="H145" i="29" s="1"/>
  <c r="I141" i="29"/>
  <c r="J141" i="29" s="1"/>
  <c r="F141" i="29"/>
  <c r="H141" i="29" s="1"/>
  <c r="I140" i="29"/>
  <c r="J140" i="29" s="1"/>
  <c r="F140" i="29"/>
  <c r="H140" i="29" s="1"/>
  <c r="J139" i="29"/>
  <c r="F139" i="29"/>
  <c r="H139" i="29" s="1"/>
  <c r="F138" i="29"/>
  <c r="H138" i="29" s="1"/>
  <c r="F137" i="29"/>
  <c r="I132" i="29"/>
  <c r="J132" i="29" s="1"/>
  <c r="F132" i="29"/>
  <c r="H132" i="29" s="1"/>
  <c r="K132" i="29" s="1"/>
  <c r="J131" i="29"/>
  <c r="F131" i="29"/>
  <c r="H131" i="29" s="1"/>
  <c r="J130" i="29"/>
  <c r="H130" i="29"/>
  <c r="F130" i="29"/>
  <c r="J129" i="29"/>
  <c r="F129" i="29"/>
  <c r="H129" i="29" s="1"/>
  <c r="J128" i="29"/>
  <c r="F128" i="29"/>
  <c r="H128" i="29" s="1"/>
  <c r="D125" i="29"/>
  <c r="I124" i="29"/>
  <c r="J124" i="29" s="1"/>
  <c r="F124" i="29"/>
  <c r="H124" i="29" s="1"/>
  <c r="J123" i="29"/>
  <c r="F123" i="29"/>
  <c r="H123" i="29" s="1"/>
  <c r="J122" i="29"/>
  <c r="F122" i="29"/>
  <c r="H122" i="29" s="1"/>
  <c r="J121" i="29"/>
  <c r="F121" i="29"/>
  <c r="H121" i="29" s="1"/>
  <c r="J120" i="29"/>
  <c r="F120" i="29"/>
  <c r="H120" i="29" s="1"/>
  <c r="J119" i="29"/>
  <c r="F119" i="29"/>
  <c r="H119" i="29" s="1"/>
  <c r="K119" i="29" s="1"/>
  <c r="J118" i="29"/>
  <c r="F118" i="29"/>
  <c r="H118" i="29" s="1"/>
  <c r="A109" i="29"/>
  <c r="A106" i="29"/>
  <c r="D104" i="29"/>
  <c r="I103" i="29"/>
  <c r="J103" i="29" s="1"/>
  <c r="E103" i="29"/>
  <c r="F103" i="29" s="1"/>
  <c r="H103" i="29" s="1"/>
  <c r="I102" i="29"/>
  <c r="E102" i="29"/>
  <c r="F102" i="29" s="1"/>
  <c r="H102" i="29" s="1"/>
  <c r="J102" i="29" s="1"/>
  <c r="K102" i="29" s="1"/>
  <c r="I101" i="29"/>
  <c r="J101" i="29" s="1"/>
  <c r="E101" i="29"/>
  <c r="F101" i="29" s="1"/>
  <c r="H101" i="29" s="1"/>
  <c r="I100" i="29"/>
  <c r="J100" i="29" s="1"/>
  <c r="E100" i="29"/>
  <c r="F100" i="29" s="1"/>
  <c r="H100" i="29" s="1"/>
  <c r="I99" i="29"/>
  <c r="J99" i="29" s="1"/>
  <c r="E99" i="29"/>
  <c r="F99" i="29" s="1"/>
  <c r="H99" i="29" s="1"/>
  <c r="I98" i="29"/>
  <c r="J98" i="29" s="1"/>
  <c r="E98" i="29"/>
  <c r="F98" i="29" s="1"/>
  <c r="H98" i="29" s="1"/>
  <c r="I97" i="29"/>
  <c r="J97" i="29" s="1"/>
  <c r="E97" i="29"/>
  <c r="F97" i="29" s="1"/>
  <c r="H97" i="29" s="1"/>
  <c r="I96" i="29"/>
  <c r="J96" i="29" s="1"/>
  <c r="F96" i="29"/>
  <c r="H96" i="29" s="1"/>
  <c r="D93" i="29"/>
  <c r="I92" i="29"/>
  <c r="J92" i="29" s="1"/>
  <c r="F92" i="29"/>
  <c r="H92" i="29" s="1"/>
  <c r="J91" i="29"/>
  <c r="F91" i="29"/>
  <c r="H91" i="29" s="1"/>
  <c r="J90" i="29"/>
  <c r="F90" i="29"/>
  <c r="H90" i="29" s="1"/>
  <c r="K90" i="29" s="1"/>
  <c r="J89" i="29"/>
  <c r="F89" i="29"/>
  <c r="H89" i="29" s="1"/>
  <c r="J88" i="29"/>
  <c r="F88" i="29"/>
  <c r="H88" i="29" s="1"/>
  <c r="K88" i="29" s="1"/>
  <c r="J87" i="29"/>
  <c r="F87" i="29"/>
  <c r="H87" i="29" s="1"/>
  <c r="J86" i="29"/>
  <c r="F86" i="29"/>
  <c r="H86" i="29" s="1"/>
  <c r="K86" i="29" s="1"/>
  <c r="J85" i="29"/>
  <c r="F85" i="29"/>
  <c r="I81" i="29"/>
  <c r="J81" i="29" s="1"/>
  <c r="F81" i="29"/>
  <c r="H81" i="29" s="1"/>
  <c r="K81" i="29" s="1"/>
  <c r="I80" i="29"/>
  <c r="J80" i="29" s="1"/>
  <c r="F80" i="29"/>
  <c r="H80" i="29" s="1"/>
  <c r="D77" i="29"/>
  <c r="I76" i="29"/>
  <c r="J76" i="29" s="1"/>
  <c r="F76" i="29"/>
  <c r="H76" i="29" s="1"/>
  <c r="I75" i="29"/>
  <c r="J75" i="29" s="1"/>
  <c r="F75" i="29"/>
  <c r="H75" i="29" s="1"/>
  <c r="I74" i="29"/>
  <c r="J74" i="29" s="1"/>
  <c r="F74" i="29"/>
  <c r="H74" i="29" s="1"/>
  <c r="I70" i="29"/>
  <c r="J70" i="29" s="1"/>
  <c r="F70" i="29"/>
  <c r="H70" i="29" s="1"/>
  <c r="I69" i="29"/>
  <c r="J69" i="29" s="1"/>
  <c r="F69" i="29"/>
  <c r="I65" i="29"/>
  <c r="J65" i="29" s="1"/>
  <c r="F65" i="29"/>
  <c r="H65" i="29" s="1"/>
  <c r="I64" i="29"/>
  <c r="J64" i="29" s="1"/>
  <c r="F64" i="29"/>
  <c r="H64" i="29" s="1"/>
  <c r="A56" i="29"/>
  <c r="A53" i="29"/>
  <c r="I50" i="29"/>
  <c r="J50" i="29" s="1"/>
  <c r="I49" i="29"/>
  <c r="I45" i="29"/>
  <c r="J45" i="29" s="1"/>
  <c r="F45" i="29"/>
  <c r="H45" i="29" s="1"/>
  <c r="I40" i="29"/>
  <c r="J40" i="29" s="1"/>
  <c r="F40" i="29"/>
  <c r="H40" i="29" s="1"/>
  <c r="K40" i="29" s="1"/>
  <c r="J39" i="29"/>
  <c r="I39" i="29"/>
  <c r="H39" i="29"/>
  <c r="F39" i="29"/>
  <c r="I34" i="29"/>
  <c r="I29" i="29"/>
  <c r="J29" i="29" s="1"/>
  <c r="F29" i="29"/>
  <c r="H29" i="29" s="1"/>
  <c r="I28" i="29"/>
  <c r="I23" i="29"/>
  <c r="J23" i="29" s="1"/>
  <c r="F22" i="29"/>
  <c r="H22" i="29" s="1"/>
  <c r="I18" i="29"/>
  <c r="J18" i="29" s="1"/>
  <c r="I15" i="29"/>
  <c r="J15" i="29" s="1"/>
  <c r="F15" i="29"/>
  <c r="H15" i="29" s="1"/>
  <c r="J13" i="29"/>
  <c r="F13" i="29"/>
  <c r="H13" i="29" s="1"/>
  <c r="I196" i="29" l="1"/>
  <c r="J196" i="29" s="1"/>
  <c r="F24" i="29"/>
  <c r="H24" i="29" s="1"/>
  <c r="F35" i="29"/>
  <c r="H35" i="29" s="1"/>
  <c r="F194" i="29"/>
  <c r="F200" i="29" s="1"/>
  <c r="J238" i="29"/>
  <c r="F12" i="29"/>
  <c r="F14" i="29"/>
  <c r="F299" i="29" s="1"/>
  <c r="H299" i="29" s="1"/>
  <c r="D306" i="29"/>
  <c r="J12" i="29"/>
  <c r="J28" i="29"/>
  <c r="K123" i="29"/>
  <c r="I188" i="29"/>
  <c r="J188" i="29" s="1"/>
  <c r="K188" i="29" s="1"/>
  <c r="J24" i="29"/>
  <c r="K24" i="29" s="1"/>
  <c r="J44" i="29"/>
  <c r="J17" i="29"/>
  <c r="J297" i="29" s="1"/>
  <c r="H301" i="29"/>
  <c r="H311" i="29" s="1"/>
  <c r="K287" i="29"/>
  <c r="K282" i="29"/>
  <c r="H284" i="29"/>
  <c r="K261" i="29"/>
  <c r="F253" i="29"/>
  <c r="J250" i="29"/>
  <c r="J244" i="29"/>
  <c r="K244" i="29" s="1"/>
  <c r="F246" i="29"/>
  <c r="K239" i="29"/>
  <c r="F240" i="29"/>
  <c r="J232" i="29"/>
  <c r="J234" i="29" s="1"/>
  <c r="F234" i="29"/>
  <c r="F226" i="29"/>
  <c r="H226" i="29" s="1"/>
  <c r="K226" i="29" s="1"/>
  <c r="F204" i="29"/>
  <c r="H204" i="29" s="1"/>
  <c r="K204" i="29" s="1"/>
  <c r="K199" i="29"/>
  <c r="K205" i="29"/>
  <c r="K196" i="29"/>
  <c r="H190" i="29"/>
  <c r="K189" i="29"/>
  <c r="H181" i="29"/>
  <c r="K159" i="29"/>
  <c r="K158" i="29"/>
  <c r="K149" i="29"/>
  <c r="D307" i="29"/>
  <c r="K145" i="29"/>
  <c r="K141" i="29"/>
  <c r="K139" i="29"/>
  <c r="F142" i="29"/>
  <c r="K140" i="29"/>
  <c r="K179" i="29"/>
  <c r="I256" i="29"/>
  <c r="J256" i="29" s="1"/>
  <c r="K122" i="29"/>
  <c r="K121" i="29"/>
  <c r="K120" i="29"/>
  <c r="H125" i="29"/>
  <c r="K124" i="29"/>
  <c r="K118" i="29"/>
  <c r="K101" i="29"/>
  <c r="K157" i="29"/>
  <c r="I206" i="29"/>
  <c r="J206" i="29" s="1"/>
  <c r="K206" i="29" s="1"/>
  <c r="K155" i="29"/>
  <c r="J195" i="29"/>
  <c r="K195" i="29" s="1"/>
  <c r="J146" i="29"/>
  <c r="K146" i="29" s="1"/>
  <c r="K96" i="29"/>
  <c r="K89" i="29"/>
  <c r="K87" i="29"/>
  <c r="K91" i="29"/>
  <c r="K92" i="29"/>
  <c r="F93" i="29"/>
  <c r="J93" i="29"/>
  <c r="K76" i="29"/>
  <c r="F77" i="29"/>
  <c r="F71" i="29"/>
  <c r="K65" i="29"/>
  <c r="H51" i="29"/>
  <c r="C306" i="29"/>
  <c r="C312" i="29" s="1"/>
  <c r="J49" i="29"/>
  <c r="K49" i="29" s="1"/>
  <c r="K35" i="29"/>
  <c r="F34" i="29"/>
  <c r="J34" i="29"/>
  <c r="J36" i="29" s="1"/>
  <c r="K29" i="29"/>
  <c r="F25" i="29"/>
  <c r="F300" i="29"/>
  <c r="H300" i="29" s="1"/>
  <c r="H16" i="29"/>
  <c r="I16" i="29"/>
  <c r="J16" i="29" s="1"/>
  <c r="J300" i="29" s="1"/>
  <c r="K15" i="29"/>
  <c r="K22" i="29"/>
  <c r="J25" i="29"/>
  <c r="J71" i="29"/>
  <c r="K70" i="29"/>
  <c r="J298" i="29"/>
  <c r="K30" i="29"/>
  <c r="H41" i="29"/>
  <c r="K75" i="29"/>
  <c r="K98" i="29"/>
  <c r="K103" i="29"/>
  <c r="J142" i="29"/>
  <c r="K138" i="29"/>
  <c r="H31" i="29"/>
  <c r="J46" i="29"/>
  <c r="K45" i="29"/>
  <c r="H77" i="29"/>
  <c r="K97" i="29"/>
  <c r="K100" i="29"/>
  <c r="H133" i="29"/>
  <c r="H308" i="29" s="1"/>
  <c r="I207" i="29"/>
  <c r="J207" i="29" s="1"/>
  <c r="K207" i="29" s="1"/>
  <c r="J197" i="29"/>
  <c r="K197" i="29" s="1"/>
  <c r="K50" i="29"/>
  <c r="H66" i="29"/>
  <c r="K74" i="29"/>
  <c r="J77" i="29"/>
  <c r="H82" i="29"/>
  <c r="H104" i="29"/>
  <c r="K99" i="29"/>
  <c r="H17" i="29"/>
  <c r="K17" i="29" s="1"/>
  <c r="F297" i="29"/>
  <c r="H297" i="29" s="1"/>
  <c r="J31" i="29"/>
  <c r="J41" i="29"/>
  <c r="K39" i="29"/>
  <c r="K41" i="29" s="1"/>
  <c r="F51" i="29"/>
  <c r="J66" i="29"/>
  <c r="K64" i="29"/>
  <c r="J82" i="29"/>
  <c r="K80" i="29"/>
  <c r="K82" i="29" s="1"/>
  <c r="J104" i="29"/>
  <c r="J125" i="29"/>
  <c r="K131" i="29"/>
  <c r="I154" i="29"/>
  <c r="J154" i="29" s="1"/>
  <c r="H160" i="29"/>
  <c r="K178" i="29"/>
  <c r="J253" i="29"/>
  <c r="K279" i="29"/>
  <c r="F284" i="29"/>
  <c r="H14" i="29"/>
  <c r="K14" i="29" s="1"/>
  <c r="K28" i="29"/>
  <c r="F41" i="29"/>
  <c r="H44" i="29"/>
  <c r="F66" i="29"/>
  <c r="H69" i="29"/>
  <c r="F82" i="29"/>
  <c r="H85" i="29"/>
  <c r="D310" i="29"/>
  <c r="K130" i="29"/>
  <c r="F133" i="29"/>
  <c r="F308" i="29" s="1"/>
  <c r="H137" i="29"/>
  <c r="J148" i="29"/>
  <c r="K148" i="29" s="1"/>
  <c r="I258" i="29"/>
  <c r="J258" i="29" s="1"/>
  <c r="K258" i="29" s="1"/>
  <c r="I186" i="29"/>
  <c r="J186" i="29" s="1"/>
  <c r="K186" i="29" s="1"/>
  <c r="J177" i="29"/>
  <c r="K177" i="29" s="1"/>
  <c r="K184" i="29"/>
  <c r="I187" i="29"/>
  <c r="J187" i="29" s="1"/>
  <c r="K187" i="29" s="1"/>
  <c r="H194" i="29"/>
  <c r="K194" i="29" s="1"/>
  <c r="I198" i="29"/>
  <c r="K233" i="29"/>
  <c r="K238" i="29"/>
  <c r="F257" i="29"/>
  <c r="K259" i="29"/>
  <c r="K281" i="29"/>
  <c r="J311" i="29"/>
  <c r="F19" i="29"/>
  <c r="F31" i="29"/>
  <c r="H34" i="29"/>
  <c r="H36" i="29" s="1"/>
  <c r="F104" i="29"/>
  <c r="F125" i="29"/>
  <c r="K129" i="29"/>
  <c r="J176" i="29"/>
  <c r="J185" i="29"/>
  <c r="K185" i="29" s="1"/>
  <c r="I193" i="29"/>
  <c r="K232" i="29"/>
  <c r="J240" i="29"/>
  <c r="K251" i="29"/>
  <c r="K252" i="29"/>
  <c r="K283" i="29"/>
  <c r="H12" i="29"/>
  <c r="K13" i="29"/>
  <c r="F298" i="29"/>
  <c r="H298" i="29" s="1"/>
  <c r="H18" i="29"/>
  <c r="K18" i="29" s="1"/>
  <c r="H23" i="29"/>
  <c r="K23" i="29" s="1"/>
  <c r="J133" i="29"/>
  <c r="K128" i="29"/>
  <c r="H151" i="29"/>
  <c r="F151" i="29"/>
  <c r="K156" i="29"/>
  <c r="K175" i="29"/>
  <c r="K180" i="29"/>
  <c r="F190" i="29"/>
  <c r="H225" i="29"/>
  <c r="K245" i="29"/>
  <c r="K250" i="29"/>
  <c r="K256" i="29"/>
  <c r="K290" i="29"/>
  <c r="J228" i="29"/>
  <c r="J280" i="29"/>
  <c r="K280" i="29" s="1"/>
  <c r="F160" i="29"/>
  <c r="F181" i="29"/>
  <c r="J209" i="29"/>
  <c r="K209" i="29" s="1"/>
  <c r="H231" i="29"/>
  <c r="H234" i="29" s="1"/>
  <c r="H237" i="29"/>
  <c r="H240" i="29" s="1"/>
  <c r="H243" i="29"/>
  <c r="H246" i="29" s="1"/>
  <c r="H249" i="29"/>
  <c r="H253" i="29" s="1"/>
  <c r="H293" i="29"/>
  <c r="C25" i="27"/>
  <c r="K66" i="29" l="1"/>
  <c r="K51" i="29"/>
  <c r="J19" i="29"/>
  <c r="K77" i="29"/>
  <c r="F36" i="29"/>
  <c r="F306" i="29" s="1"/>
  <c r="K293" i="29"/>
  <c r="K301" i="29"/>
  <c r="K311" i="29" s="1"/>
  <c r="K243" i="29"/>
  <c r="K246" i="29" s="1"/>
  <c r="J246" i="29"/>
  <c r="J309" i="29" s="1"/>
  <c r="H228" i="29"/>
  <c r="H309" i="29" s="1"/>
  <c r="F228" i="29"/>
  <c r="F309" i="29" s="1"/>
  <c r="K225" i="29"/>
  <c r="K228" i="29" s="1"/>
  <c r="H210" i="29"/>
  <c r="F210" i="29"/>
  <c r="F307" i="29" s="1"/>
  <c r="H310" i="29"/>
  <c r="D312" i="29"/>
  <c r="K300" i="29"/>
  <c r="J51" i="29"/>
  <c r="K16" i="29"/>
  <c r="K298" i="29"/>
  <c r="K231" i="29"/>
  <c r="K234" i="29" s="1"/>
  <c r="K176" i="29"/>
  <c r="K181" i="29" s="1"/>
  <c r="J181" i="29"/>
  <c r="K25" i="29"/>
  <c r="J262" i="29"/>
  <c r="H25" i="29"/>
  <c r="J299" i="29"/>
  <c r="K299" i="29" s="1"/>
  <c r="J198" i="29"/>
  <c r="K198" i="29" s="1"/>
  <c r="I208" i="29"/>
  <c r="J208" i="29" s="1"/>
  <c r="K208" i="29" s="1"/>
  <c r="K190" i="29"/>
  <c r="H71" i="29"/>
  <c r="K69" i="29"/>
  <c r="K71" i="29" s="1"/>
  <c r="K34" i="29"/>
  <c r="K36" i="29" s="1"/>
  <c r="K249" i="29"/>
  <c r="K253" i="29" s="1"/>
  <c r="K125" i="29"/>
  <c r="H19" i="29"/>
  <c r="J193" i="29"/>
  <c r="I203" i="29"/>
  <c r="J203" i="29" s="1"/>
  <c r="F310" i="29"/>
  <c r="H142" i="29"/>
  <c r="K137" i="29"/>
  <c r="K142" i="29" s="1"/>
  <c r="K85" i="29"/>
  <c r="H93" i="29"/>
  <c r="K93" i="29" s="1"/>
  <c r="K31" i="29"/>
  <c r="J284" i="29"/>
  <c r="K154" i="29"/>
  <c r="J160" i="29"/>
  <c r="K160" i="29" s="1"/>
  <c r="K104" i="29"/>
  <c r="J190" i="29"/>
  <c r="J308" i="29"/>
  <c r="K308" i="29" s="1"/>
  <c r="K133" i="29"/>
  <c r="K237" i="29"/>
  <c r="K240" i="29" s="1"/>
  <c r="H257" i="29"/>
  <c r="F262" i="29"/>
  <c r="H200" i="29"/>
  <c r="H46" i="29"/>
  <c r="K44" i="29"/>
  <c r="K46" i="29" s="1"/>
  <c r="K284" i="29"/>
  <c r="J151" i="29"/>
  <c r="K151" i="29" s="1"/>
  <c r="J306" i="29"/>
  <c r="K12" i="29"/>
  <c r="K297" i="29"/>
  <c r="F155" i="26"/>
  <c r="E155" i="26"/>
  <c r="G155" i="26"/>
  <c r="A975" i="20"/>
  <c r="A974" i="20"/>
  <c r="C974" i="20"/>
  <c r="F971" i="20"/>
  <c r="G971" i="20"/>
  <c r="H971" i="20"/>
  <c r="I971" i="20"/>
  <c r="J971" i="20"/>
  <c r="K971" i="20"/>
  <c r="L971" i="20"/>
  <c r="M971" i="20"/>
  <c r="N971" i="20"/>
  <c r="O971" i="20"/>
  <c r="P971" i="20"/>
  <c r="E971" i="20"/>
  <c r="A970" i="20"/>
  <c r="A969" i="20"/>
  <c r="C969" i="20"/>
  <c r="E969" i="20"/>
  <c r="F969" i="20"/>
  <c r="Q969" i="20" s="1"/>
  <c r="G969" i="20"/>
  <c r="H969" i="20"/>
  <c r="I969" i="20"/>
  <c r="J969" i="20"/>
  <c r="K969" i="20"/>
  <c r="L969" i="20"/>
  <c r="M969" i="20"/>
  <c r="N969" i="20"/>
  <c r="O969" i="20"/>
  <c r="P969" i="20"/>
  <c r="A948" i="20"/>
  <c r="A947" i="20"/>
  <c r="A943" i="20"/>
  <c r="A942" i="20"/>
  <c r="C942" i="20"/>
  <c r="C947" i="20" s="1"/>
  <c r="E942" i="20"/>
  <c r="F942" i="20"/>
  <c r="G942" i="20"/>
  <c r="H942" i="20"/>
  <c r="I942" i="20"/>
  <c r="J942" i="20"/>
  <c r="K942" i="20"/>
  <c r="L942" i="20"/>
  <c r="M942" i="20"/>
  <c r="N942" i="20"/>
  <c r="O942" i="20"/>
  <c r="P942" i="20"/>
  <c r="F302" i="29" l="1"/>
  <c r="F296" i="29" s="1"/>
  <c r="H296" i="29" s="1"/>
  <c r="H302" i="29" s="1"/>
  <c r="J310" i="29"/>
  <c r="K310" i="29" s="1"/>
  <c r="H306" i="29"/>
  <c r="K306" i="29" s="1"/>
  <c r="K19" i="29"/>
  <c r="K257" i="29"/>
  <c r="K262" i="29" s="1"/>
  <c r="H262" i="29"/>
  <c r="K203" i="29"/>
  <c r="J210" i="29"/>
  <c r="K210" i="29" s="1"/>
  <c r="H307" i="29"/>
  <c r="F312" i="29"/>
  <c r="K193" i="29"/>
  <c r="J200" i="29"/>
  <c r="K309" i="29"/>
  <c r="Q942" i="20"/>
  <c r="H312" i="29" l="1"/>
  <c r="K200" i="29"/>
  <c r="J302" i="29"/>
  <c r="J296" i="29" s="1"/>
  <c r="K296" i="29" s="1"/>
  <c r="K302" i="29" s="1"/>
  <c r="J307" i="29"/>
  <c r="A184" i="28"/>
  <c r="A185" i="28"/>
  <c r="A183" i="28"/>
  <c r="D168" i="28"/>
  <c r="D167" i="28"/>
  <c r="E167" i="28" s="1"/>
  <c r="A168" i="28"/>
  <c r="A167" i="28"/>
  <c r="A246" i="26"/>
  <c r="A245" i="26"/>
  <c r="H245" i="26"/>
  <c r="J245" i="26"/>
  <c r="E245" i="26"/>
  <c r="A761" i="20"/>
  <c r="A760" i="20"/>
  <c r="C756" i="20"/>
  <c r="A756" i="20"/>
  <c r="A755" i="20"/>
  <c r="C755" i="20"/>
  <c r="C760" i="20" s="1"/>
  <c r="E755" i="20"/>
  <c r="F755" i="20"/>
  <c r="G755" i="20"/>
  <c r="H755" i="20"/>
  <c r="I755" i="20"/>
  <c r="J755" i="20"/>
  <c r="K755" i="20"/>
  <c r="L755" i="20"/>
  <c r="M755" i="20"/>
  <c r="N755" i="20"/>
  <c r="O755" i="20"/>
  <c r="P755" i="20"/>
  <c r="F1222" i="8"/>
  <c r="G1222" i="8"/>
  <c r="H1222" i="8"/>
  <c r="I1222" i="8"/>
  <c r="J1222" i="8"/>
  <c r="K1222" i="8"/>
  <c r="L1222" i="8"/>
  <c r="M1222" i="8"/>
  <c r="N1222" i="8"/>
  <c r="O1222" i="8"/>
  <c r="P1222" i="8"/>
  <c r="Q1222" i="8"/>
  <c r="E1222" i="8"/>
  <c r="A1222" i="8"/>
  <c r="A1223" i="8" s="1"/>
  <c r="D1223" i="8"/>
  <c r="D1222" i="8"/>
  <c r="C1222" i="8"/>
  <c r="E1217" i="8"/>
  <c r="F1217" i="8"/>
  <c r="G1217" i="8"/>
  <c r="H1217" i="8"/>
  <c r="I1217" i="8"/>
  <c r="J1217" i="8"/>
  <c r="K1217" i="8"/>
  <c r="L1217" i="8"/>
  <c r="M1217" i="8"/>
  <c r="N1217" i="8"/>
  <c r="O1217" i="8"/>
  <c r="P1217" i="8"/>
  <c r="A1218" i="8"/>
  <c r="C1217" i="8"/>
  <c r="A390" i="3"/>
  <c r="A391" i="3" s="1"/>
  <c r="A389" i="3"/>
  <c r="B389" i="3"/>
  <c r="D389" i="3"/>
  <c r="E389" i="3"/>
  <c r="P389" i="3" s="1"/>
  <c r="F389" i="3"/>
  <c r="G389" i="3"/>
  <c r="H389" i="3"/>
  <c r="I389" i="3"/>
  <c r="J389" i="3"/>
  <c r="K389" i="3"/>
  <c r="L389" i="3"/>
  <c r="M389" i="3"/>
  <c r="N389" i="3"/>
  <c r="O389" i="3"/>
  <c r="A385" i="3"/>
  <c r="A384" i="3"/>
  <c r="B384" i="3"/>
  <c r="P384" i="3"/>
  <c r="A380" i="3"/>
  <c r="A379" i="3"/>
  <c r="P379" i="3"/>
  <c r="A1217" i="8"/>
  <c r="D978" i="8"/>
  <c r="D977" i="8"/>
  <c r="A978" i="8"/>
  <c r="A977" i="8"/>
  <c r="A973" i="8"/>
  <c r="A972" i="8"/>
  <c r="C972" i="8"/>
  <c r="C977" i="8" s="1"/>
  <c r="D951" i="8"/>
  <c r="D950" i="8"/>
  <c r="A951" i="8"/>
  <c r="A950" i="8"/>
  <c r="A946" i="8"/>
  <c r="A945" i="8"/>
  <c r="C945" i="8"/>
  <c r="C950" i="8" s="1"/>
  <c r="E945" i="8"/>
  <c r="E950" i="8" s="1"/>
  <c r="D764" i="8"/>
  <c r="D763" i="8"/>
  <c r="E45" i="1"/>
  <c r="A759" i="8"/>
  <c r="A758" i="8"/>
  <c r="C758" i="8"/>
  <c r="C763" i="8" s="1"/>
  <c r="E758" i="8"/>
  <c r="E763" i="8" s="1"/>
  <c r="F758" i="8"/>
  <c r="G758" i="8"/>
  <c r="H758" i="8"/>
  <c r="H763" i="8" s="1"/>
  <c r="I758" i="8"/>
  <c r="I763" i="8" s="1"/>
  <c r="J758" i="8"/>
  <c r="J763" i="8" s="1"/>
  <c r="K758" i="8"/>
  <c r="L758" i="8"/>
  <c r="L763" i="8" s="1"/>
  <c r="M758" i="8"/>
  <c r="M763" i="8" s="1"/>
  <c r="N758" i="8"/>
  <c r="N763" i="8" s="1"/>
  <c r="O758" i="8"/>
  <c r="P758" i="8"/>
  <c r="P763" i="8" s="1"/>
  <c r="D267" i="3"/>
  <c r="D272" i="3" s="1"/>
  <c r="E972" i="8" s="1"/>
  <c r="E977" i="8" s="1"/>
  <c r="E267" i="3"/>
  <c r="F267" i="3"/>
  <c r="F272" i="3" s="1"/>
  <c r="G972" i="8" s="1"/>
  <c r="G267" i="3"/>
  <c r="G272" i="3" s="1"/>
  <c r="H972" i="8" s="1"/>
  <c r="H267" i="3"/>
  <c r="H272" i="3" s="1"/>
  <c r="I972" i="8" s="1"/>
  <c r="I977" i="8" s="1"/>
  <c r="I267" i="3"/>
  <c r="I272" i="3" s="1"/>
  <c r="J972" i="8" s="1"/>
  <c r="J977" i="8" s="1"/>
  <c r="J267" i="3"/>
  <c r="J272" i="3" s="1"/>
  <c r="K972" i="8" s="1"/>
  <c r="K267" i="3"/>
  <c r="K272" i="3" s="1"/>
  <c r="L972" i="8" s="1"/>
  <c r="L267" i="3"/>
  <c r="L272" i="3" s="1"/>
  <c r="M972" i="8" s="1"/>
  <c r="M977" i="8" s="1"/>
  <c r="M267" i="3"/>
  <c r="M272" i="3" s="1"/>
  <c r="N972" i="8" s="1"/>
  <c r="N977" i="8" s="1"/>
  <c r="N267" i="3"/>
  <c r="N272" i="3" s="1"/>
  <c r="O972" i="8" s="1"/>
  <c r="O267" i="3"/>
  <c r="O272" i="3" s="1"/>
  <c r="P972" i="8" s="1"/>
  <c r="D268" i="3"/>
  <c r="E268" i="3"/>
  <c r="F268" i="3"/>
  <c r="G268" i="3"/>
  <c r="H268" i="3"/>
  <c r="I268" i="3"/>
  <c r="J268" i="3"/>
  <c r="K268" i="3"/>
  <c r="L268" i="3"/>
  <c r="M268" i="3"/>
  <c r="N268" i="3"/>
  <c r="O268" i="3"/>
  <c r="A59" i="5"/>
  <c r="A58" i="5"/>
  <c r="B58" i="5"/>
  <c r="D58" i="5"/>
  <c r="E58" i="5"/>
  <c r="P58" i="5" s="1"/>
  <c r="F58" i="5"/>
  <c r="G58" i="5"/>
  <c r="H58" i="5"/>
  <c r="I58" i="5"/>
  <c r="J58" i="5"/>
  <c r="K58" i="5"/>
  <c r="L58" i="5"/>
  <c r="M58" i="5"/>
  <c r="N58" i="5"/>
  <c r="O58" i="5"/>
  <c r="R60" i="15"/>
  <c r="A135" i="3"/>
  <c r="A136" i="3" s="1"/>
  <c r="A134" i="3"/>
  <c r="P134" i="3"/>
  <c r="A272" i="3"/>
  <c r="A273" i="3"/>
  <c r="B272" i="3"/>
  <c r="B267" i="3"/>
  <c r="A267" i="3"/>
  <c r="A268" i="3"/>
  <c r="O262" i="3"/>
  <c r="N262" i="3"/>
  <c r="M262" i="3"/>
  <c r="G262" i="3"/>
  <c r="F262" i="3"/>
  <c r="P262" i="3" s="1"/>
  <c r="E262" i="3"/>
  <c r="D262" i="3"/>
  <c r="A262" i="3"/>
  <c r="A263" i="3"/>
  <c r="A245" i="3"/>
  <c r="A246" i="3"/>
  <c r="B255" i="3"/>
  <c r="D255" i="3"/>
  <c r="E255" i="3"/>
  <c r="F945" i="8" s="1"/>
  <c r="F255" i="3"/>
  <c r="G945" i="8" s="1"/>
  <c r="G950" i="8" s="1"/>
  <c r="G255" i="3"/>
  <c r="H945" i="8" s="1"/>
  <c r="H950" i="8" s="1"/>
  <c r="H255" i="3"/>
  <c r="I945" i="8" s="1"/>
  <c r="I950" i="8" s="1"/>
  <c r="I255" i="3"/>
  <c r="J945" i="8" s="1"/>
  <c r="J255" i="3"/>
  <c r="K945" i="8" s="1"/>
  <c r="K950" i="8" s="1"/>
  <c r="K255" i="3"/>
  <c r="L945" i="8" s="1"/>
  <c r="L950" i="8" s="1"/>
  <c r="L255" i="3"/>
  <c r="M945" i="8" s="1"/>
  <c r="M950" i="8" s="1"/>
  <c r="M255" i="3"/>
  <c r="N945" i="8" s="1"/>
  <c r="N255" i="3"/>
  <c r="O945" i="8" s="1"/>
  <c r="O950" i="8" s="1"/>
  <c r="O255" i="3"/>
  <c r="P945" i="8" s="1"/>
  <c r="P950" i="8" s="1"/>
  <c r="B250" i="3"/>
  <c r="P250" i="3"/>
  <c r="P245" i="3"/>
  <c r="K307" i="29" l="1"/>
  <c r="K312" i="29" s="1"/>
  <c r="J312" i="29"/>
  <c r="Q755" i="20"/>
  <c r="L977" i="8"/>
  <c r="P977" i="8"/>
  <c r="H977" i="8"/>
  <c r="Q1217" i="8"/>
  <c r="N950" i="8"/>
  <c r="J950" i="8"/>
  <c r="O977" i="8"/>
  <c r="K977" i="8"/>
  <c r="G977" i="8"/>
  <c r="P268" i="3"/>
  <c r="P267" i="3"/>
  <c r="Q945" i="8"/>
  <c r="F950" i="8"/>
  <c r="Q950" i="8" s="1"/>
  <c r="O763" i="8"/>
  <c r="K763" i="8"/>
  <c r="G763" i="8"/>
  <c r="Q758" i="8"/>
  <c r="F763" i="8"/>
  <c r="E272" i="3"/>
  <c r="P255" i="3"/>
  <c r="P272" i="3" l="1"/>
  <c r="F972" i="8"/>
  <c r="Q972" i="8" l="1"/>
  <c r="F977" i="8"/>
  <c r="Q977" i="8" s="1"/>
  <c r="G154" i="26" l="1"/>
  <c r="H155" i="26" l="1"/>
  <c r="I155" i="26" l="1"/>
  <c r="H154" i="26" l="1"/>
  <c r="H156" i="26" s="1"/>
  <c r="I154" i="26"/>
  <c r="I156" i="26" s="1"/>
  <c r="G156" i="26"/>
  <c r="E154" i="26"/>
  <c r="E156" i="26" s="1"/>
  <c r="D155" i="26" l="1"/>
  <c r="D156" i="26" s="1"/>
  <c r="G149" i="26" l="1"/>
  <c r="E149" i="26"/>
  <c r="I149" i="26"/>
  <c r="F149" i="26"/>
  <c r="H149" i="26"/>
  <c r="G141" i="26"/>
  <c r="I141" i="26"/>
  <c r="E180" i="2" l="1"/>
  <c r="F180" i="2"/>
  <c r="G180" i="2"/>
  <c r="H180" i="2"/>
  <c r="I180" i="2"/>
  <c r="J180" i="2"/>
  <c r="K180" i="2"/>
  <c r="L180" i="2"/>
  <c r="M180" i="2"/>
  <c r="N180" i="2"/>
  <c r="D180" i="2"/>
  <c r="P362" i="8" l="1"/>
  <c r="E1156" i="8"/>
  <c r="D360" i="3"/>
  <c r="Q1251" i="8" l="1"/>
  <c r="F362" i="8"/>
  <c r="G362" i="8"/>
  <c r="H362" i="8"/>
  <c r="I362" i="8"/>
  <c r="J362" i="8"/>
  <c r="K362" i="8"/>
  <c r="L362" i="8"/>
  <c r="M362" i="8"/>
  <c r="N362" i="8"/>
  <c r="O362" i="8"/>
  <c r="Q362" i="8"/>
  <c r="E362" i="8"/>
  <c r="F54" i="15" l="1"/>
  <c r="P54" i="15"/>
  <c r="N54" i="15"/>
  <c r="M54" i="15"/>
  <c r="L54" i="15"/>
  <c r="K54" i="15"/>
  <c r="J54" i="15"/>
  <c r="I54" i="15"/>
  <c r="G54" i="15"/>
  <c r="O54" i="15"/>
  <c r="Q54" i="15"/>
  <c r="D254" i="3" l="1"/>
  <c r="E129" i="28" l="1"/>
  <c r="E113" i="28"/>
  <c r="E112" i="28"/>
  <c r="I135" i="26" l="1"/>
  <c r="I188" i="26" l="1"/>
  <c r="V53" i="1"/>
  <c r="U54" i="1"/>
  <c r="U52" i="1"/>
  <c r="U51" i="1"/>
  <c r="U50" i="1"/>
  <c r="U49" i="1"/>
  <c r="A233" i="28" l="1"/>
  <c r="A234" i="28"/>
  <c r="A219" i="28"/>
  <c r="A220" i="28"/>
  <c r="A169" i="28"/>
  <c r="A170" i="28" s="1"/>
  <c r="A171" i="28" s="1"/>
  <c r="A172" i="28" s="1"/>
  <c r="A120" i="28"/>
  <c r="A121" i="28"/>
  <c r="E31" i="28"/>
  <c r="E17" i="28"/>
  <c r="C19" i="28" l="1"/>
  <c r="D139" i="28"/>
  <c r="D137" i="28"/>
  <c r="D136" i="28"/>
  <c r="D122" i="28"/>
  <c r="D120" i="28"/>
  <c r="D119" i="28"/>
  <c r="D118" i="28"/>
  <c r="D117" i="28"/>
  <c r="E117" i="28" s="1"/>
  <c r="D116" i="28"/>
  <c r="E116" i="28" s="1"/>
  <c r="D115" i="28"/>
  <c r="E111" i="28"/>
  <c r="D121" i="28"/>
  <c r="D138" i="28" s="1"/>
  <c r="A111" i="28"/>
  <c r="A112" i="28" s="1"/>
  <c r="A113" i="28" s="1"/>
  <c r="A115" i="28" s="1"/>
  <c r="A119" i="28" l="1"/>
  <c r="A122" i="28" s="1"/>
  <c r="A124" i="28" s="1"/>
  <c r="A126" i="28" s="1"/>
  <c r="A128" i="28" s="1"/>
  <c r="A129" i="28" s="1"/>
  <c r="A130" i="28" s="1"/>
  <c r="A132" i="28" s="1"/>
  <c r="A133" i="28" s="1"/>
  <c r="A134" i="28" s="1"/>
  <c r="A135" i="28" s="1"/>
  <c r="A136" i="28" s="1"/>
  <c r="A116" i="28"/>
  <c r="A117" i="28" s="1"/>
  <c r="A118" i="28" s="1"/>
  <c r="E115" i="28"/>
  <c r="V48" i="1"/>
  <c r="V47" i="1"/>
  <c r="V46" i="1"/>
  <c r="V45" i="1"/>
  <c r="V44" i="1"/>
  <c r="E130" i="28" s="1"/>
  <c r="A137" i="28" l="1"/>
  <c r="A138" i="28" s="1"/>
  <c r="A139" i="28" s="1"/>
  <c r="A141" i="28" s="1"/>
  <c r="A143" i="28" s="1"/>
  <c r="A145" i="28" s="1"/>
  <c r="H135" i="26"/>
  <c r="G135" i="26"/>
  <c r="F135" i="26"/>
  <c r="E135" i="26"/>
  <c r="D220" i="28" l="1"/>
  <c r="D171" i="28"/>
  <c r="D22" i="28"/>
  <c r="D16" i="23"/>
  <c r="D235" i="28" l="1"/>
  <c r="D233" i="28"/>
  <c r="D232" i="28"/>
  <c r="E229" i="28"/>
  <c r="E228" i="28"/>
  <c r="D221" i="28"/>
  <c r="D219" i="28"/>
  <c r="D218" i="28"/>
  <c r="E215" i="28"/>
  <c r="E214" i="28"/>
  <c r="D217" i="28"/>
  <c r="E213" i="28"/>
  <c r="D188" i="28" l="1"/>
  <c r="D186" i="28"/>
  <c r="D185" i="28"/>
  <c r="C184" i="28"/>
  <c r="E180" i="28"/>
  <c r="E179" i="28"/>
  <c r="D172" i="28"/>
  <c r="D170" i="28"/>
  <c r="D169" i="28"/>
  <c r="E168" i="28"/>
  <c r="D166" i="28"/>
  <c r="E164" i="28"/>
  <c r="E163" i="28"/>
  <c r="E162" i="28"/>
  <c r="D88" i="28"/>
  <c r="D86" i="28"/>
  <c r="D85" i="28"/>
  <c r="E79" i="28"/>
  <c r="D72" i="28"/>
  <c r="D71" i="28"/>
  <c r="D70" i="28"/>
  <c r="D69" i="28"/>
  <c r="D68" i="28"/>
  <c r="E68" i="28" s="1"/>
  <c r="D67" i="28"/>
  <c r="E67" i="28" s="1"/>
  <c r="D66" i="28"/>
  <c r="E66" i="28" s="1"/>
  <c r="D65" i="28"/>
  <c r="E63" i="28"/>
  <c r="E62" i="28"/>
  <c r="D37" i="28"/>
  <c r="D35" i="28"/>
  <c r="D34" i="28"/>
  <c r="E30" i="28"/>
  <c r="D23" i="28" l="1"/>
  <c r="D36" i="28"/>
  <c r="D21" i="28"/>
  <c r="D20" i="28"/>
  <c r="D19" i="28"/>
  <c r="E16" i="28"/>
  <c r="E15" i="28"/>
  <c r="D234" i="28"/>
  <c r="A213" i="28"/>
  <c r="A214" i="28" s="1"/>
  <c r="D187" i="28"/>
  <c r="A162" i="28"/>
  <c r="A163" i="28" s="1"/>
  <c r="A166" i="28" s="1"/>
  <c r="A174" i="28" s="1"/>
  <c r="A176" i="28" s="1"/>
  <c r="A178" i="28" s="1"/>
  <c r="A179" i="28" s="1"/>
  <c r="D87" i="28"/>
  <c r="A62" i="28"/>
  <c r="A63" i="28" s="1"/>
  <c r="A65" i="28" s="1"/>
  <c r="A15" i="28"/>
  <c r="A16" i="28" s="1"/>
  <c r="A19" i="28" l="1"/>
  <c r="A20" i="28" s="1"/>
  <c r="A17" i="28"/>
  <c r="A215" i="28"/>
  <c r="A217" i="28" s="1"/>
  <c r="A218" i="28" s="1"/>
  <c r="A221" i="28" s="1"/>
  <c r="A223" i="28" s="1"/>
  <c r="A225" i="28" s="1"/>
  <c r="A227" i="28" s="1"/>
  <c r="A228" i="28" s="1"/>
  <c r="A180" i="28"/>
  <c r="A181" i="28" s="1"/>
  <c r="A182" i="28" s="1"/>
  <c r="A66" i="28"/>
  <c r="A67" i="28" s="1"/>
  <c r="A68" i="28" s="1"/>
  <c r="A69" i="28" s="1"/>
  <c r="A70" i="28" s="1"/>
  <c r="A71" i="28" s="1"/>
  <c r="A72" i="28" s="1"/>
  <c r="A186" i="28" l="1"/>
  <c r="A187" i="28" s="1"/>
  <c r="A188" i="28" s="1"/>
  <c r="A190" i="28" s="1"/>
  <c r="A192" i="28" s="1"/>
  <c r="A194" i="28" s="1"/>
  <c r="A21" i="28"/>
  <c r="A22" i="28" s="1"/>
  <c r="A23" i="28" s="1"/>
  <c r="A25" i="28" s="1"/>
  <c r="A27" i="28" s="1"/>
  <c r="A29" i="28" s="1"/>
  <c r="A30" i="28" s="1"/>
  <c r="A229" i="28"/>
  <c r="A231" i="28" s="1"/>
  <c r="A232" i="28" s="1"/>
  <c r="A235" i="28" s="1"/>
  <c r="A237" i="28" s="1"/>
  <c r="A239" i="28" s="1"/>
  <c r="A241" i="28" s="1"/>
  <c r="A74" i="28"/>
  <c r="A76" i="28" s="1"/>
  <c r="A78" i="28" s="1"/>
  <c r="A79" i="28" s="1"/>
  <c r="A81" i="28" s="1"/>
  <c r="A31" i="28" l="1"/>
  <c r="A33" i="28" s="1"/>
  <c r="A34" i="28" s="1"/>
  <c r="A82" i="28"/>
  <c r="A83" i="28" s="1"/>
  <c r="A84" i="28" s="1"/>
  <c r="A85" i="28" s="1"/>
  <c r="A86" i="28" s="1"/>
  <c r="A87" i="28" s="1"/>
  <c r="A88" i="28" s="1"/>
  <c r="A90" i="28" l="1"/>
  <c r="A92" i="28" s="1"/>
  <c r="A94" i="28" s="1"/>
  <c r="A35" i="28"/>
  <c r="A36" i="28" s="1"/>
  <c r="A37" i="28" s="1"/>
  <c r="A39" i="28" s="1"/>
  <c r="A41" i="28" s="1"/>
  <c r="A43" i="28" s="1"/>
  <c r="AA37" i="1" l="1"/>
  <c r="AA36" i="1"/>
  <c r="AA31" i="1"/>
  <c r="AA30" i="1"/>
  <c r="A194" i="26" l="1"/>
  <c r="A223" i="26" l="1"/>
  <c r="A123" i="26"/>
  <c r="A253" i="26"/>
  <c r="A44" i="26"/>
  <c r="A164" i="26"/>
  <c r="A82" i="26"/>
  <c r="F19" i="14"/>
  <c r="A126" i="20" l="1"/>
  <c r="P164" i="3"/>
  <c r="E164" i="3"/>
  <c r="F164" i="3"/>
  <c r="G164" i="3"/>
  <c r="H164" i="3"/>
  <c r="I164" i="3"/>
  <c r="J164" i="3"/>
  <c r="K164" i="3"/>
  <c r="L164" i="3"/>
  <c r="M164" i="3"/>
  <c r="N164" i="3"/>
  <c r="O164" i="3"/>
  <c r="D164" i="3"/>
  <c r="A34" i="3"/>
  <c r="P886" i="8"/>
  <c r="O886" i="8"/>
  <c r="N886" i="8"/>
  <c r="M886" i="8"/>
  <c r="L886" i="8"/>
  <c r="K886" i="8"/>
  <c r="J886" i="8"/>
  <c r="I886" i="8"/>
  <c r="H886" i="8"/>
  <c r="G886" i="8"/>
  <c r="F886" i="8"/>
  <c r="E886" i="8"/>
  <c r="Q882" i="8"/>
  <c r="A882" i="8"/>
  <c r="A881" i="8"/>
  <c r="Q880" i="8"/>
  <c r="A880" i="8"/>
  <c r="A879" i="8"/>
  <c r="A877" i="8"/>
  <c r="A875" i="8"/>
  <c r="A874" i="8"/>
  <c r="A333" i="8"/>
  <c r="A332" i="8"/>
  <c r="A351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Q342" i="8"/>
  <c r="A342" i="8"/>
  <c r="A341" i="8"/>
  <c r="Q340" i="8"/>
  <c r="A340" i="8"/>
  <c r="A339" i="8"/>
  <c r="A337" i="8"/>
  <c r="A335" i="8"/>
  <c r="A334" i="8"/>
  <c r="A289" i="8"/>
  <c r="A185" i="8"/>
  <c r="A166" i="8"/>
  <c r="A165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Q175" i="8"/>
  <c r="A175" i="8"/>
  <c r="A174" i="8"/>
  <c r="Q173" i="8"/>
  <c r="A173" i="8"/>
  <c r="A172" i="8"/>
  <c r="A170" i="8"/>
  <c r="A168" i="8"/>
  <c r="A167" i="8"/>
  <c r="B185" i="8"/>
  <c r="A129" i="8"/>
  <c r="C310" i="2"/>
  <c r="E79" i="2"/>
  <c r="E126" i="2" s="1"/>
  <c r="F79" i="2"/>
  <c r="F126" i="2" s="1"/>
  <c r="G79" i="2"/>
  <c r="G126" i="2" s="1"/>
  <c r="H79" i="2"/>
  <c r="H126" i="2" s="1"/>
  <c r="I79" i="2"/>
  <c r="I126" i="2" s="1"/>
  <c r="J79" i="2"/>
  <c r="J126" i="2" s="1"/>
  <c r="K79" i="2"/>
  <c r="K126" i="2" s="1"/>
  <c r="L79" i="2"/>
  <c r="L126" i="2" s="1"/>
  <c r="M79" i="2"/>
  <c r="M126" i="2" s="1"/>
  <c r="N79" i="2"/>
  <c r="N126" i="2" s="1"/>
  <c r="O79" i="2"/>
  <c r="O126" i="2" s="1"/>
  <c r="D79" i="2"/>
  <c r="D126" i="2" s="1"/>
  <c r="A150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A155" i="2"/>
  <c r="P154" i="2"/>
  <c r="A154" i="2"/>
  <c r="A153" i="2"/>
  <c r="A152" i="2"/>
  <c r="E125" i="2"/>
  <c r="F125" i="2"/>
  <c r="G125" i="2"/>
  <c r="H125" i="2"/>
  <c r="I125" i="2"/>
  <c r="J125" i="2"/>
  <c r="K125" i="2"/>
  <c r="L125" i="2"/>
  <c r="M125" i="2"/>
  <c r="N125" i="2"/>
  <c r="O125" i="2"/>
  <c r="E127" i="2"/>
  <c r="F127" i="2"/>
  <c r="G127" i="2"/>
  <c r="H127" i="2"/>
  <c r="I127" i="2"/>
  <c r="J127" i="2"/>
  <c r="K127" i="2"/>
  <c r="L127" i="2"/>
  <c r="M127" i="2"/>
  <c r="N127" i="2"/>
  <c r="O127" i="2"/>
  <c r="D127" i="2"/>
  <c r="D125" i="2"/>
  <c r="N264" i="3"/>
  <c r="P79" i="2" l="1"/>
  <c r="P126" i="2" s="1"/>
  <c r="H84" i="3"/>
  <c r="D310" i="2"/>
  <c r="A347" i="20" l="1"/>
  <c r="A285" i="20"/>
  <c r="A181" i="20"/>
  <c r="A49" i="19" l="1"/>
  <c r="A50" i="19" s="1"/>
  <c r="A51" i="19" s="1"/>
  <c r="F754" i="20" l="1"/>
  <c r="G754" i="20"/>
  <c r="H754" i="20"/>
  <c r="I754" i="20"/>
  <c r="J754" i="20"/>
  <c r="K754" i="20"/>
  <c r="L754" i="20"/>
  <c r="M754" i="20"/>
  <c r="N754" i="20"/>
  <c r="O754" i="20"/>
  <c r="P754" i="20"/>
  <c r="F756" i="20"/>
  <c r="G756" i="20"/>
  <c r="H756" i="20"/>
  <c r="I756" i="20"/>
  <c r="J756" i="20"/>
  <c r="K756" i="20"/>
  <c r="L756" i="20"/>
  <c r="M756" i="20"/>
  <c r="N756" i="20"/>
  <c r="O756" i="20"/>
  <c r="P756" i="20"/>
  <c r="E756" i="20"/>
  <c r="E754" i="20"/>
  <c r="F597" i="20"/>
  <c r="G597" i="20"/>
  <c r="H597" i="20"/>
  <c r="I597" i="20"/>
  <c r="K597" i="20"/>
  <c r="L597" i="20"/>
  <c r="M597" i="20"/>
  <c r="N597" i="20"/>
  <c r="O597" i="20"/>
  <c r="P597" i="20"/>
  <c r="F598" i="20"/>
  <c r="G598" i="20"/>
  <c r="H598" i="20"/>
  <c r="I598" i="20"/>
  <c r="J598" i="20"/>
  <c r="K598" i="20"/>
  <c r="L598" i="20"/>
  <c r="M598" i="20"/>
  <c r="N598" i="20"/>
  <c r="O598" i="20"/>
  <c r="P598" i="20"/>
  <c r="E598" i="20"/>
  <c r="E597" i="20"/>
  <c r="Q598" i="20" l="1"/>
  <c r="K255" i="26" l="1"/>
  <c r="K253" i="26"/>
  <c r="A262" i="26"/>
  <c r="A263" i="26" s="1"/>
  <c r="A264" i="26" s="1"/>
  <c r="A265" i="26" s="1"/>
  <c r="A255" i="26"/>
  <c r="A232" i="26"/>
  <c r="A233" i="26" s="1"/>
  <c r="K225" i="26"/>
  <c r="K223" i="26"/>
  <c r="A225" i="26"/>
  <c r="K196" i="26"/>
  <c r="K194" i="26"/>
  <c r="J166" i="26"/>
  <c r="J164" i="26"/>
  <c r="A196" i="26"/>
  <c r="A166" i="26"/>
  <c r="A125" i="26"/>
  <c r="A234" i="26" l="1"/>
  <c r="A235" i="26" s="1"/>
  <c r="A236" i="26" s="1"/>
  <c r="A237" i="26" s="1"/>
  <c r="A238" i="26" s="1"/>
  <c r="A266" i="26"/>
  <c r="A267" i="26" s="1"/>
  <c r="A268" i="26" l="1"/>
  <c r="A269" i="26" s="1"/>
  <c r="A271" i="26" s="1"/>
  <c r="A272" i="26" s="1"/>
  <c r="A274" i="26" s="1"/>
  <c r="A276" i="26" s="1"/>
  <c r="A278" i="26" s="1"/>
  <c r="A279" i="26" s="1"/>
  <c r="A280" i="26" s="1"/>
  <c r="A281" i="26" s="1"/>
  <c r="A282" i="26" s="1"/>
  <c r="A239" i="26"/>
  <c r="A240" i="26" l="1"/>
  <c r="A283" i="26"/>
  <c r="A284" i="26" s="1"/>
  <c r="A286" i="26" s="1"/>
  <c r="A287" i="26" s="1"/>
  <c r="A289" i="26" s="1"/>
  <c r="A241" i="26" l="1"/>
  <c r="A242" i="26" s="1"/>
  <c r="A244" i="26" s="1"/>
  <c r="A247" i="26" s="1"/>
  <c r="A249" i="26" s="1"/>
  <c r="D141" i="26"/>
  <c r="A84" i="26"/>
  <c r="A46" i="26"/>
  <c r="C111" i="26" l="1"/>
  <c r="C105" i="26"/>
  <c r="C96" i="26"/>
  <c r="C97" i="26"/>
  <c r="C98" i="26"/>
  <c r="C95" i="26"/>
  <c r="C58" i="26" l="1"/>
  <c r="C118" i="26" s="1"/>
  <c r="C59" i="26"/>
  <c r="C60" i="26"/>
  <c r="C61" i="26"/>
  <c r="C119" i="26" s="1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57" i="26"/>
  <c r="C117" i="26" s="1"/>
  <c r="E85" i="2" l="1"/>
  <c r="F85" i="2"/>
  <c r="G85" i="2"/>
  <c r="H85" i="2"/>
  <c r="I85" i="2"/>
  <c r="J85" i="2"/>
  <c r="K85" i="2"/>
  <c r="L85" i="2"/>
  <c r="M85" i="2"/>
  <c r="N85" i="2"/>
  <c r="O85" i="2"/>
  <c r="D85" i="2"/>
  <c r="D133" i="26" l="1"/>
  <c r="I139" i="26" l="1"/>
  <c r="I140" i="26" s="1"/>
  <c r="I142" i="26" s="1"/>
  <c r="I143" i="26"/>
  <c r="I137" i="26"/>
  <c r="A919" i="8"/>
  <c r="A920" i="8"/>
  <c r="A922" i="8"/>
  <c r="A924" i="8"/>
  <c r="A925" i="8"/>
  <c r="Q925" i="8"/>
  <c r="A926" i="8"/>
  <c r="A927" i="8"/>
  <c r="Q927" i="8"/>
  <c r="E931" i="8"/>
  <c r="F931" i="8"/>
  <c r="G931" i="8"/>
  <c r="H931" i="8"/>
  <c r="I931" i="8"/>
  <c r="J931" i="8"/>
  <c r="K931" i="8"/>
  <c r="L931" i="8"/>
  <c r="M931" i="8"/>
  <c r="N931" i="8"/>
  <c r="O931" i="8"/>
  <c r="P931" i="8"/>
  <c r="Q371" i="8"/>
  <c r="F38" i="26" s="1"/>
  <c r="I144" i="26" l="1"/>
  <c r="I150" i="26" s="1"/>
  <c r="R51" i="15" l="1"/>
  <c r="E63" i="5"/>
  <c r="E399" i="3" s="1"/>
  <c r="F63" i="5"/>
  <c r="F399" i="3" s="1"/>
  <c r="G63" i="5"/>
  <c r="G399" i="3" s="1"/>
  <c r="H63" i="5"/>
  <c r="H399" i="3" s="1"/>
  <c r="I63" i="5"/>
  <c r="I399" i="3" s="1"/>
  <c r="J63" i="5"/>
  <c r="J399" i="3" s="1"/>
  <c r="K63" i="5"/>
  <c r="K399" i="3" s="1"/>
  <c r="L63" i="5"/>
  <c r="L399" i="3" s="1"/>
  <c r="M63" i="5"/>
  <c r="M399" i="3" s="1"/>
  <c r="N63" i="5"/>
  <c r="N399" i="3" s="1"/>
  <c r="O63" i="5"/>
  <c r="O399" i="3" s="1"/>
  <c r="E64" i="5"/>
  <c r="F64" i="5"/>
  <c r="F400" i="3" s="1"/>
  <c r="F404" i="3" s="1"/>
  <c r="G1238" i="20" s="1"/>
  <c r="G64" i="5"/>
  <c r="G400" i="3" s="1"/>
  <c r="H64" i="5"/>
  <c r="H400" i="3" s="1"/>
  <c r="I64" i="5"/>
  <c r="I400" i="3" s="1"/>
  <c r="J64" i="5"/>
  <c r="J400" i="3" s="1"/>
  <c r="K64" i="5"/>
  <c r="K400" i="3" s="1"/>
  <c r="L64" i="5"/>
  <c r="L400" i="3" s="1"/>
  <c r="M64" i="5"/>
  <c r="M400" i="3" s="1"/>
  <c r="N64" i="5"/>
  <c r="N400" i="3" s="1"/>
  <c r="O64" i="5"/>
  <c r="O400" i="3" s="1"/>
  <c r="D64" i="5"/>
  <c r="D400" i="3" s="1"/>
  <c r="D63" i="5"/>
  <c r="D399" i="3" s="1"/>
  <c r="A56" i="15"/>
  <c r="A50" i="15"/>
  <c r="A51" i="15" s="1"/>
  <c r="A53" i="15" s="1"/>
  <c r="A54" i="15" s="1"/>
  <c r="E36" i="5"/>
  <c r="F36" i="5"/>
  <c r="G36" i="5"/>
  <c r="H36" i="5"/>
  <c r="I36" i="5"/>
  <c r="J36" i="5"/>
  <c r="K36" i="5"/>
  <c r="L36" i="5"/>
  <c r="M36" i="5"/>
  <c r="N36" i="5"/>
  <c r="O36" i="5"/>
  <c r="E37" i="5"/>
  <c r="F37" i="5"/>
  <c r="G37" i="5"/>
  <c r="H37" i="5"/>
  <c r="I37" i="5"/>
  <c r="J37" i="5"/>
  <c r="K37" i="5"/>
  <c r="L37" i="5"/>
  <c r="M37" i="5"/>
  <c r="N37" i="5"/>
  <c r="O37" i="5"/>
  <c r="E38" i="5"/>
  <c r="F38" i="5"/>
  <c r="G38" i="5"/>
  <c r="H38" i="5"/>
  <c r="I38" i="5"/>
  <c r="J38" i="5"/>
  <c r="K38" i="5"/>
  <c r="L38" i="5"/>
  <c r="M38" i="5"/>
  <c r="N38" i="5"/>
  <c r="O38" i="5"/>
  <c r="E39" i="5"/>
  <c r="F39" i="5"/>
  <c r="G39" i="5"/>
  <c r="H39" i="5"/>
  <c r="I39" i="5"/>
  <c r="J39" i="5"/>
  <c r="K39" i="5"/>
  <c r="L39" i="5"/>
  <c r="M39" i="5"/>
  <c r="N39" i="5"/>
  <c r="O39" i="5"/>
  <c r="D37" i="5"/>
  <c r="D38" i="5"/>
  <c r="D39" i="5"/>
  <c r="D36" i="5"/>
  <c r="A48" i="15"/>
  <c r="E29" i="5"/>
  <c r="E86" i="3" s="1"/>
  <c r="F29" i="5"/>
  <c r="F86" i="3" s="1"/>
  <c r="G29" i="5"/>
  <c r="G86" i="3" s="1"/>
  <c r="H29" i="5"/>
  <c r="H86" i="3" s="1"/>
  <c r="I29" i="5"/>
  <c r="I86" i="3" s="1"/>
  <c r="J29" i="5"/>
  <c r="J86" i="3" s="1"/>
  <c r="K29" i="5"/>
  <c r="K86" i="3" s="1"/>
  <c r="L29" i="5"/>
  <c r="L86" i="3" s="1"/>
  <c r="M29" i="5"/>
  <c r="M86" i="3" s="1"/>
  <c r="N29" i="5"/>
  <c r="N86" i="3" s="1"/>
  <c r="O29" i="5"/>
  <c r="O86" i="3" s="1"/>
  <c r="E30" i="5"/>
  <c r="E87" i="3" s="1"/>
  <c r="F30" i="5"/>
  <c r="F87" i="3" s="1"/>
  <c r="G30" i="5"/>
  <c r="G87" i="3" s="1"/>
  <c r="H30" i="5"/>
  <c r="H87" i="3" s="1"/>
  <c r="I30" i="5"/>
  <c r="I87" i="3" s="1"/>
  <c r="J30" i="5"/>
  <c r="J87" i="3" s="1"/>
  <c r="K30" i="5"/>
  <c r="K87" i="3" s="1"/>
  <c r="L30" i="5"/>
  <c r="L87" i="3" s="1"/>
  <c r="M30" i="5"/>
  <c r="M87" i="3" s="1"/>
  <c r="N30" i="5"/>
  <c r="N87" i="3" s="1"/>
  <c r="O30" i="5"/>
  <c r="O87" i="3" s="1"/>
  <c r="E31" i="5"/>
  <c r="E88" i="3" s="1"/>
  <c r="F31" i="5"/>
  <c r="F88" i="3" s="1"/>
  <c r="G31" i="5"/>
  <c r="G88" i="3" s="1"/>
  <c r="H31" i="5"/>
  <c r="H88" i="3" s="1"/>
  <c r="I31" i="5"/>
  <c r="I88" i="3" s="1"/>
  <c r="J31" i="5"/>
  <c r="J88" i="3" s="1"/>
  <c r="K31" i="5"/>
  <c r="K88" i="3" s="1"/>
  <c r="L31" i="5"/>
  <c r="L88" i="3" s="1"/>
  <c r="M31" i="5"/>
  <c r="M88" i="3" s="1"/>
  <c r="N31" i="5"/>
  <c r="N88" i="3" s="1"/>
  <c r="O31" i="5"/>
  <c r="O88" i="3" s="1"/>
  <c r="E32" i="5"/>
  <c r="E89" i="3" s="1"/>
  <c r="F32" i="5"/>
  <c r="F89" i="3" s="1"/>
  <c r="G32" i="5"/>
  <c r="G89" i="3" s="1"/>
  <c r="H32" i="5"/>
  <c r="H89" i="3" s="1"/>
  <c r="I32" i="5"/>
  <c r="I89" i="3" s="1"/>
  <c r="J32" i="5"/>
  <c r="J89" i="3" s="1"/>
  <c r="K32" i="5"/>
  <c r="K89" i="3" s="1"/>
  <c r="L32" i="5"/>
  <c r="L89" i="3" s="1"/>
  <c r="M32" i="5"/>
  <c r="M89" i="3" s="1"/>
  <c r="N32" i="5"/>
  <c r="N89" i="3" s="1"/>
  <c r="O32" i="5"/>
  <c r="O89" i="3" s="1"/>
  <c r="D30" i="5"/>
  <c r="D87" i="3" s="1"/>
  <c r="D31" i="5"/>
  <c r="D88" i="3" s="1"/>
  <c r="D32" i="5"/>
  <c r="D89" i="3" s="1"/>
  <c r="D29" i="5"/>
  <c r="E400" i="3" l="1"/>
  <c r="E404" i="3" s="1"/>
  <c r="F1242" i="8" s="1"/>
  <c r="E57" i="5"/>
  <c r="E266" i="3" s="1"/>
  <c r="F57" i="5"/>
  <c r="F266" i="3" s="1"/>
  <c r="G57" i="5"/>
  <c r="G266" i="3" s="1"/>
  <c r="H57" i="5"/>
  <c r="H266" i="3" s="1"/>
  <c r="I57" i="5"/>
  <c r="I266" i="3" s="1"/>
  <c r="J57" i="5"/>
  <c r="J266" i="3" s="1"/>
  <c r="K57" i="5"/>
  <c r="K266" i="3" s="1"/>
  <c r="L57" i="5"/>
  <c r="L266" i="3" s="1"/>
  <c r="M57" i="5"/>
  <c r="M266" i="3" s="1"/>
  <c r="N57" i="5"/>
  <c r="N266" i="3" s="1"/>
  <c r="O57" i="5"/>
  <c r="O266" i="3" s="1"/>
  <c r="E59" i="5"/>
  <c r="F59" i="5"/>
  <c r="G59" i="5"/>
  <c r="H59" i="5"/>
  <c r="I59" i="5"/>
  <c r="J59" i="5"/>
  <c r="K59" i="5"/>
  <c r="L59" i="5"/>
  <c r="M59" i="5"/>
  <c r="N59" i="5"/>
  <c r="O59" i="5"/>
  <c r="D59" i="5"/>
  <c r="D57" i="5"/>
  <c r="D266" i="3" s="1"/>
  <c r="R36" i="15"/>
  <c r="F757" i="8"/>
  <c r="G757" i="8"/>
  <c r="H757" i="8"/>
  <c r="I757" i="8"/>
  <c r="J757" i="8"/>
  <c r="K757" i="8"/>
  <c r="L757" i="8"/>
  <c r="M757" i="8"/>
  <c r="N757" i="8"/>
  <c r="O757" i="8"/>
  <c r="P757" i="8"/>
  <c r="F759" i="8"/>
  <c r="G759" i="8"/>
  <c r="H759" i="8"/>
  <c r="I759" i="8"/>
  <c r="J759" i="8"/>
  <c r="K759" i="8"/>
  <c r="L759" i="8"/>
  <c r="M759" i="8"/>
  <c r="N759" i="8"/>
  <c r="O759" i="8"/>
  <c r="P759" i="8"/>
  <c r="E759" i="8"/>
  <c r="E757" i="8"/>
  <c r="F599" i="8"/>
  <c r="G599" i="8"/>
  <c r="H599" i="8"/>
  <c r="I599" i="8"/>
  <c r="K599" i="8"/>
  <c r="L599" i="8"/>
  <c r="M599" i="8"/>
  <c r="N599" i="8"/>
  <c r="O599" i="8"/>
  <c r="P599" i="8"/>
  <c r="F600" i="8"/>
  <c r="G600" i="8"/>
  <c r="H600" i="8"/>
  <c r="I600" i="8"/>
  <c r="J600" i="8"/>
  <c r="K600" i="8"/>
  <c r="L600" i="8"/>
  <c r="M600" i="8"/>
  <c r="N600" i="8"/>
  <c r="O600" i="8"/>
  <c r="P600" i="8"/>
  <c r="E600" i="8"/>
  <c r="E599" i="8"/>
  <c r="P266" i="3" l="1"/>
  <c r="F1238" i="20"/>
  <c r="R35" i="15"/>
  <c r="R34" i="15"/>
  <c r="R33" i="15"/>
  <c r="R31" i="15"/>
  <c r="R27" i="15"/>
  <c r="R26" i="15"/>
  <c r="R25" i="15"/>
  <c r="R28" i="15"/>
  <c r="A14" i="15"/>
  <c r="P335" i="3" l="1"/>
  <c r="P191" i="3"/>
  <c r="J117" i="3"/>
  <c r="I69" i="3"/>
  <c r="E160" i="3"/>
  <c r="F160" i="3"/>
  <c r="G160" i="3"/>
  <c r="H160" i="3"/>
  <c r="I160" i="3"/>
  <c r="J160" i="3"/>
  <c r="K160" i="3"/>
  <c r="L160" i="3"/>
  <c r="M160" i="3"/>
  <c r="N160" i="3"/>
  <c r="O160" i="3"/>
  <c r="D160" i="3"/>
  <c r="H15" i="3"/>
  <c r="G15" i="3"/>
  <c r="F15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283" i="3"/>
  <c r="A282" i="3"/>
  <c r="A281" i="3"/>
  <c r="P280" i="3"/>
  <c r="A280" i="3"/>
  <c r="A278" i="3"/>
  <c r="A276" i="3"/>
  <c r="J15" i="2"/>
  <c r="I15" i="2"/>
  <c r="H15" i="2"/>
  <c r="G15" i="2"/>
  <c r="F15" i="2"/>
  <c r="J597" i="20" l="1"/>
  <c r="Q597" i="20" s="1"/>
  <c r="J599" i="8"/>
  <c r="D459" i="3"/>
  <c r="E131" i="2"/>
  <c r="F131" i="2"/>
  <c r="G131" i="2"/>
  <c r="H131" i="2"/>
  <c r="I131" i="2"/>
  <c r="J131" i="2"/>
  <c r="K131" i="2"/>
  <c r="L131" i="2"/>
  <c r="M131" i="2"/>
  <c r="N131" i="2"/>
  <c r="O131" i="2"/>
  <c r="E133" i="2"/>
  <c r="F133" i="2"/>
  <c r="G133" i="2"/>
  <c r="H133" i="2"/>
  <c r="I133" i="2"/>
  <c r="J133" i="2"/>
  <c r="K133" i="2"/>
  <c r="L133" i="2"/>
  <c r="M133" i="2"/>
  <c r="N133" i="2"/>
  <c r="O133" i="2"/>
  <c r="D133" i="2"/>
  <c r="D131" i="2"/>
  <c r="D313" i="2" l="1"/>
  <c r="C12" i="1"/>
  <c r="O57" i="22" l="1"/>
  <c r="A3" i="26"/>
  <c r="A173" i="26"/>
  <c r="A174" i="26" s="1"/>
  <c r="A175" i="26" s="1"/>
  <c r="A176" i="26" s="1"/>
  <c r="A177" i="26" s="1"/>
  <c r="A178" i="26" s="1"/>
  <c r="A179" i="26" s="1"/>
  <c r="A180" i="26" s="1"/>
  <c r="A181" i="26" s="1"/>
  <c r="H143" i="26"/>
  <c r="G143" i="26"/>
  <c r="F143" i="26"/>
  <c r="E143" i="26"/>
  <c r="H139" i="26"/>
  <c r="H140" i="26" s="1"/>
  <c r="H142" i="26" s="1"/>
  <c r="G139" i="26"/>
  <c r="G140" i="26" s="1"/>
  <c r="G142" i="26" s="1"/>
  <c r="F139" i="26"/>
  <c r="F140" i="26" s="1"/>
  <c r="F142" i="26" s="1"/>
  <c r="E139" i="26"/>
  <c r="E140" i="26" s="1"/>
  <c r="E142" i="26" s="1"/>
  <c r="D137" i="26"/>
  <c r="H137" i="26"/>
  <c r="G137" i="26"/>
  <c r="E137" i="26"/>
  <c r="D140" i="26"/>
  <c r="A133" i="26"/>
  <c r="J125" i="26"/>
  <c r="J123" i="26"/>
  <c r="A95" i="26"/>
  <c r="A96" i="26" s="1"/>
  <c r="A13" i="26"/>
  <c r="A14" i="26" s="1"/>
  <c r="A15" i="26" s="1"/>
  <c r="A16" i="26" s="1"/>
  <c r="A17" i="26" s="1"/>
  <c r="A18" i="26" s="1"/>
  <c r="A19" i="26" s="1"/>
  <c r="A20" i="26" s="1"/>
  <c r="A21" i="26" s="1"/>
  <c r="A135" i="26" l="1"/>
  <c r="A136" i="26" s="1"/>
  <c r="A137" i="26" s="1"/>
  <c r="A139" i="26" s="1"/>
  <c r="F137" i="26"/>
  <c r="M140" i="26"/>
  <c r="A97" i="26"/>
  <c r="A98" i="26" s="1"/>
  <c r="A99" i="26" s="1"/>
  <c r="A101" i="26" s="1"/>
  <c r="G144" i="26"/>
  <c r="G150" i="26" s="1"/>
  <c r="A22" i="26"/>
  <c r="A23" i="26" s="1"/>
  <c r="A24" i="26" s="1"/>
  <c r="A25" i="26" s="1"/>
  <c r="A26" i="26" s="1"/>
  <c r="A27" i="26" s="1"/>
  <c r="A28" i="26" s="1"/>
  <c r="A29" i="26" s="1"/>
  <c r="A30" i="26" s="1"/>
  <c r="A31" i="26" s="1"/>
  <c r="E144" i="26"/>
  <c r="F144" i="26"/>
  <c r="H144" i="26"/>
  <c r="D142" i="26"/>
  <c r="A140" i="26" l="1"/>
  <c r="A141" i="26" s="1"/>
  <c r="A142" i="26" s="1"/>
  <c r="A143" i="26" s="1"/>
  <c r="A144" i="26" s="1"/>
  <c r="A145" i="26" s="1"/>
  <c r="A147" i="26" s="1"/>
  <c r="C140" i="26"/>
  <c r="D144" i="26"/>
  <c r="M143" i="26" s="1"/>
  <c r="A182" i="26"/>
  <c r="A183" i="26" s="1"/>
  <c r="A184" i="26" s="1"/>
  <c r="A185" i="26" s="1"/>
  <c r="A186" i="26" s="1"/>
  <c r="A187" i="26" s="1"/>
  <c r="A103" i="26"/>
  <c r="A105" i="26" s="1"/>
  <c r="A107" i="26" s="1"/>
  <c r="A109" i="26" s="1"/>
  <c r="A111" i="26" s="1"/>
  <c r="A113" i="26" s="1"/>
  <c r="A115" i="26" s="1"/>
  <c r="A117" i="26" s="1"/>
  <c r="A118" i="26" s="1"/>
  <c r="A119" i="26" s="1"/>
  <c r="A121" i="26" s="1"/>
  <c r="A32" i="26"/>
  <c r="A34" i="26" s="1"/>
  <c r="A36" i="26" s="1"/>
  <c r="A37" i="26" s="1"/>
  <c r="A38" i="26" s="1"/>
  <c r="A39" i="26" s="1"/>
  <c r="A40" i="26" s="1"/>
  <c r="A42" i="26" s="1"/>
  <c r="A57" i="26" s="1"/>
  <c r="I145" i="26"/>
  <c r="A188" i="26" l="1"/>
  <c r="A189" i="26" s="1"/>
  <c r="A191" i="26" s="1"/>
  <c r="A192" i="26" s="1"/>
  <c r="A203" i="26" s="1"/>
  <c r="A204" i="26" s="1"/>
  <c r="A205" i="26" s="1"/>
  <c r="A206" i="26" s="1"/>
  <c r="A207" i="26" s="1"/>
  <c r="A208" i="26" s="1"/>
  <c r="A148" i="26"/>
  <c r="F145" i="26"/>
  <c r="H145" i="26"/>
  <c r="A58" i="26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8" i="26" s="1"/>
  <c r="G145" i="26"/>
  <c r="C142" i="26"/>
  <c r="A149" i="26" l="1"/>
  <c r="A209" i="26"/>
  <c r="A210" i="26" s="1"/>
  <c r="E145" i="26"/>
  <c r="D145" i="26" s="1"/>
  <c r="A150" i="26" l="1"/>
  <c r="A151" i="26" s="1"/>
  <c r="A211" i="26"/>
  <c r="J16" i="23"/>
  <c r="N16" i="23"/>
  <c r="G16" i="23"/>
  <c r="K19" i="1"/>
  <c r="A153" i="26" l="1"/>
  <c r="A154" i="26" s="1"/>
  <c r="A155" i="26" s="1"/>
  <c r="A156" i="26" s="1"/>
  <c r="A158" i="26" s="1"/>
  <c r="A159" i="26" s="1"/>
  <c r="A161" i="26" s="1"/>
  <c r="A162" i="26" s="1"/>
  <c r="A212" i="26"/>
  <c r="A213" i="26" s="1"/>
  <c r="A215" i="26" s="1"/>
  <c r="A216" i="26" s="1"/>
  <c r="A217" i="26" s="1"/>
  <c r="A218" i="26" s="1"/>
  <c r="A219" i="26" s="1"/>
  <c r="A221" i="26" s="1"/>
  <c r="F16" i="23"/>
  <c r="M16" i="23"/>
  <c r="I16" i="23"/>
  <c r="E16" i="23"/>
  <c r="L16" i="23"/>
  <c r="H16" i="23"/>
  <c r="O16" i="23"/>
  <c r="K16" i="23"/>
  <c r="O264" i="2"/>
  <c r="N264" i="2"/>
  <c r="M264" i="2"/>
  <c r="L264" i="2"/>
  <c r="K264" i="2"/>
  <c r="J264" i="2"/>
  <c r="I264" i="2"/>
  <c r="H264" i="2"/>
  <c r="G264" i="2"/>
  <c r="F264" i="2"/>
  <c r="E264" i="2"/>
  <c r="D264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O64" i="2"/>
  <c r="N64" i="2"/>
  <c r="M64" i="2"/>
  <c r="L64" i="2"/>
  <c r="K64" i="2"/>
  <c r="J64" i="2"/>
  <c r="I64" i="2"/>
  <c r="H64" i="2"/>
  <c r="G64" i="2"/>
  <c r="F64" i="2"/>
  <c r="E64" i="2"/>
  <c r="D64" i="2"/>
  <c r="P1200" i="20" l="1"/>
  <c r="P1141" i="20"/>
  <c r="P1071" i="20"/>
  <c r="P998" i="20"/>
  <c r="P928" i="20"/>
  <c r="P884" i="20"/>
  <c r="P815" i="20"/>
  <c r="P742" i="20"/>
  <c r="P692" i="20"/>
  <c r="P641" i="20"/>
  <c r="P586" i="20"/>
  <c r="P519" i="20"/>
  <c r="P450" i="20"/>
  <c r="P389" i="20"/>
  <c r="P342" i="20"/>
  <c r="P279" i="20"/>
  <c r="P217" i="20"/>
  <c r="P176" i="20"/>
  <c r="P121" i="20"/>
  <c r="P59" i="20"/>
  <c r="P13" i="20"/>
  <c r="P1203" i="8"/>
  <c r="P1145" i="8"/>
  <c r="P1075" i="8"/>
  <c r="P1001" i="8"/>
  <c r="P816" i="8"/>
  <c r="P745" i="8"/>
  <c r="P694" i="8"/>
  <c r="P644" i="8"/>
  <c r="P588" i="8"/>
  <c r="P521" i="8"/>
  <c r="P453" i="8"/>
  <c r="P393" i="8"/>
  <c r="P284" i="8"/>
  <c r="P222" i="8"/>
  <c r="P124" i="8"/>
  <c r="P60" i="8"/>
  <c r="P13" i="8"/>
  <c r="N14" i="22"/>
  <c r="H47" i="1"/>
  <c r="F47" i="1"/>
  <c r="E47" i="1"/>
  <c r="D47" i="1"/>
  <c r="C47" i="1"/>
  <c r="H45" i="1"/>
  <c r="D45" i="1"/>
  <c r="C45" i="1"/>
  <c r="H42" i="1"/>
  <c r="F42" i="1"/>
  <c r="E42" i="1"/>
  <c r="D42" i="1"/>
  <c r="C42" i="1"/>
  <c r="H41" i="1"/>
  <c r="C41" i="1"/>
  <c r="H31" i="1"/>
  <c r="H43" i="1" s="1"/>
  <c r="F31" i="1"/>
  <c r="F43" i="1" s="1"/>
  <c r="E31" i="1"/>
  <c r="E43" i="1" s="1"/>
  <c r="D31" i="1"/>
  <c r="D43" i="1" s="1"/>
  <c r="C31" i="1"/>
  <c r="C43" i="1" s="1"/>
  <c r="J53" i="1"/>
  <c r="J47" i="1"/>
  <c r="J46" i="1"/>
  <c r="J45" i="1"/>
  <c r="J44" i="1"/>
  <c r="J43" i="1"/>
  <c r="J42" i="1"/>
  <c r="L41" i="1"/>
  <c r="K41" i="1"/>
  <c r="J41" i="1"/>
  <c r="M53" i="1"/>
  <c r="M42" i="1"/>
  <c r="M43" i="1"/>
  <c r="M44" i="1"/>
  <c r="M45" i="1"/>
  <c r="M46" i="1"/>
  <c r="M47" i="1"/>
  <c r="M48" i="1"/>
  <c r="M41" i="1"/>
  <c r="N37" i="1"/>
  <c r="N36" i="1"/>
  <c r="N31" i="1"/>
  <c r="N30" i="1"/>
  <c r="M37" i="1"/>
  <c r="M36" i="1"/>
  <c r="M31" i="1"/>
  <c r="M30" i="1"/>
  <c r="M25" i="1"/>
  <c r="M24" i="1"/>
  <c r="M23" i="1"/>
  <c r="M22" i="1"/>
  <c r="A52" i="22" l="1"/>
  <c r="F61" i="14" l="1"/>
  <c r="X19" i="1"/>
  <c r="Y19" i="1"/>
  <c r="Z19" i="1"/>
  <c r="P20" i="1"/>
  <c r="U20" i="1"/>
  <c r="P21" i="1"/>
  <c r="D462" i="20" s="1"/>
  <c r="U21" i="1"/>
  <c r="D459" i="20" s="1"/>
  <c r="P22" i="1"/>
  <c r="U22" i="1"/>
  <c r="Z22" i="1"/>
  <c r="P23" i="1"/>
  <c r="U23" i="1"/>
  <c r="Z23" i="1"/>
  <c r="P24" i="1"/>
  <c r="D496" i="20" s="1"/>
  <c r="U24" i="1"/>
  <c r="D493" i="20" s="1"/>
  <c r="Z24" i="1"/>
  <c r="P25" i="1"/>
  <c r="U25" i="1"/>
  <c r="D527" i="20" s="1"/>
  <c r="Z25" i="1"/>
  <c r="P26" i="1"/>
  <c r="U26" i="1"/>
  <c r="P27" i="1"/>
  <c r="D564" i="20" s="1"/>
  <c r="U27" i="1"/>
  <c r="D561" i="20" s="1"/>
  <c r="P28" i="1"/>
  <c r="Q28" i="1"/>
  <c r="U28" i="1"/>
  <c r="D594" i="20" s="1"/>
  <c r="P29" i="1"/>
  <c r="D619" i="20" s="1"/>
  <c r="U29" i="1"/>
  <c r="Z30" i="1"/>
  <c r="Z31" i="1"/>
  <c r="Z37" i="1"/>
  <c r="X41" i="1"/>
  <c r="D836" i="20" s="1"/>
  <c r="Y41" i="1"/>
  <c r="Z41" i="1"/>
  <c r="Z42" i="1"/>
  <c r="Z43" i="1"/>
  <c r="Z44" i="1"/>
  <c r="Z45" i="1"/>
  <c r="D1007" i="20"/>
  <c r="Z46" i="1"/>
  <c r="D1035" i="20"/>
  <c r="Z47" i="1"/>
  <c r="Z48" i="1"/>
  <c r="P49" i="1"/>
  <c r="D1101" i="20" s="1"/>
  <c r="P50" i="1"/>
  <c r="D1119" i="20" s="1"/>
  <c r="P51" i="1"/>
  <c r="D1149" i="20"/>
  <c r="P52" i="1"/>
  <c r="Q52" i="1"/>
  <c r="D1167" i="20"/>
  <c r="D1209" i="20"/>
  <c r="Z53" i="1"/>
  <c r="P54" i="1"/>
  <c r="D1241" i="20" s="1"/>
  <c r="Q54" i="1"/>
  <c r="D1233" i="20"/>
  <c r="E271" i="3"/>
  <c r="F971" i="8" s="1"/>
  <c r="F271" i="3"/>
  <c r="G968" i="20" s="1"/>
  <c r="H271" i="3"/>
  <c r="I271" i="3"/>
  <c r="J968" i="20" s="1"/>
  <c r="K271" i="3"/>
  <c r="L968" i="20" s="1"/>
  <c r="M271" i="3"/>
  <c r="N971" i="8" s="1"/>
  <c r="N271" i="3"/>
  <c r="O271" i="3"/>
  <c r="P971" i="8" s="1"/>
  <c r="G273" i="3"/>
  <c r="H973" i="8" s="1"/>
  <c r="H273" i="3"/>
  <c r="I970" i="20" s="1"/>
  <c r="J273" i="3"/>
  <c r="L273" i="3"/>
  <c r="N273" i="3"/>
  <c r="O273" i="3"/>
  <c r="P973" i="8" s="1"/>
  <c r="D273" i="3"/>
  <c r="B51" i="5"/>
  <c r="B52" i="5"/>
  <c r="B53" i="5"/>
  <c r="B50" i="5"/>
  <c r="B44" i="5"/>
  <c r="B45" i="5"/>
  <c r="B46" i="5"/>
  <c r="B43" i="5"/>
  <c r="B59" i="5"/>
  <c r="B57" i="5"/>
  <c r="B37" i="5"/>
  <c r="B38" i="5"/>
  <c r="B39" i="5"/>
  <c r="B36" i="5"/>
  <c r="B30" i="5"/>
  <c r="B31" i="5"/>
  <c r="B32" i="5"/>
  <c r="B29" i="5"/>
  <c r="E198" i="2"/>
  <c r="E200" i="2" s="1"/>
  <c r="F198" i="2"/>
  <c r="F200" i="2" s="1"/>
  <c r="G1036" i="8" s="1"/>
  <c r="G290" i="8" s="1"/>
  <c r="G198" i="2"/>
  <c r="G200" i="2" s="1"/>
  <c r="H198" i="2"/>
  <c r="I198" i="2"/>
  <c r="I200" i="2" s="1"/>
  <c r="J198" i="2"/>
  <c r="J200" i="2" s="1"/>
  <c r="K198" i="2"/>
  <c r="K200" i="2" s="1"/>
  <c r="L198" i="2"/>
  <c r="M198" i="2"/>
  <c r="M200" i="2" s="1"/>
  <c r="N1036" i="8" s="1"/>
  <c r="N198" i="2"/>
  <c r="O198" i="2"/>
  <c r="O200" i="2" s="1"/>
  <c r="D198" i="2"/>
  <c r="E192" i="2"/>
  <c r="F192" i="2"/>
  <c r="G192" i="2"/>
  <c r="G194" i="2" s="1"/>
  <c r="H192" i="2"/>
  <c r="I192" i="2"/>
  <c r="I194" i="2" s="1"/>
  <c r="J1005" i="20" s="1"/>
  <c r="J192" i="2"/>
  <c r="J194" i="2" s="1"/>
  <c r="K192" i="2"/>
  <c r="K194" i="2" s="1"/>
  <c r="L192" i="2"/>
  <c r="M192" i="2"/>
  <c r="M194" i="2" s="1"/>
  <c r="N192" i="2"/>
  <c r="N194" i="2" s="1"/>
  <c r="O1008" i="8" s="1"/>
  <c r="O192" i="2"/>
  <c r="O194" i="2" s="1"/>
  <c r="P1005" i="20" s="1"/>
  <c r="D192" i="2"/>
  <c r="D194" i="2" s="1"/>
  <c r="F132" i="2"/>
  <c r="H132" i="2"/>
  <c r="J132" i="2"/>
  <c r="L132" i="2"/>
  <c r="M132" i="2"/>
  <c r="N132" i="2"/>
  <c r="D132" i="2"/>
  <c r="A16" i="5"/>
  <c r="A17" i="5" s="1"/>
  <c r="A18" i="5" s="1"/>
  <c r="A19" i="5" s="1"/>
  <c r="A20" i="5" s="1"/>
  <c r="A21" i="5" s="1"/>
  <c r="A22" i="5" s="1"/>
  <c r="A24" i="5" s="1"/>
  <c r="A26" i="5" s="1"/>
  <c r="A28" i="5" s="1"/>
  <c r="A29" i="5" s="1"/>
  <c r="A30" i="5" s="1"/>
  <c r="A31" i="5" s="1"/>
  <c r="A32" i="5" s="1"/>
  <c r="A33" i="5" s="1"/>
  <c r="A35" i="5" s="1"/>
  <c r="A36" i="5" s="1"/>
  <c r="A37" i="5" s="1"/>
  <c r="A38" i="5" s="1"/>
  <c r="A39" i="5" s="1"/>
  <c r="A40" i="5" s="1"/>
  <c r="A42" i="5" s="1"/>
  <c r="A43" i="5" s="1"/>
  <c r="A44" i="5" s="1"/>
  <c r="A45" i="5" s="1"/>
  <c r="A46" i="5" s="1"/>
  <c r="A47" i="5" s="1"/>
  <c r="A49" i="5" s="1"/>
  <c r="A50" i="5" s="1"/>
  <c r="A51" i="5" s="1"/>
  <c r="A52" i="5" s="1"/>
  <c r="A53" i="5" s="1"/>
  <c r="A54" i="5" s="1"/>
  <c r="A56" i="5" s="1"/>
  <c r="A57" i="5" s="1"/>
  <c r="A60" i="5" s="1"/>
  <c r="A62" i="5" s="1"/>
  <c r="A63" i="5" s="1"/>
  <c r="A64" i="5" s="1"/>
  <c r="A65" i="5" s="1"/>
  <c r="A67" i="5" s="1"/>
  <c r="E22" i="5"/>
  <c r="E24" i="5" s="1"/>
  <c r="F22" i="5"/>
  <c r="F24" i="5" s="1"/>
  <c r="N22" i="5"/>
  <c r="N24" i="5" s="1"/>
  <c r="O22" i="5"/>
  <c r="O24" i="5" s="1"/>
  <c r="D22" i="5"/>
  <c r="D24" i="5" s="1"/>
  <c r="E403" i="3"/>
  <c r="F403" i="3"/>
  <c r="G403" i="3"/>
  <c r="H403" i="3"/>
  <c r="I403" i="3"/>
  <c r="J403" i="3"/>
  <c r="K403" i="3"/>
  <c r="L403" i="3"/>
  <c r="M403" i="3"/>
  <c r="N403" i="3"/>
  <c r="O403" i="3"/>
  <c r="G1242" i="8"/>
  <c r="G404" i="3"/>
  <c r="H404" i="3"/>
  <c r="I404" i="3"/>
  <c r="J404" i="3"/>
  <c r="K404" i="3"/>
  <c r="L404" i="3"/>
  <c r="M404" i="3"/>
  <c r="N404" i="3"/>
  <c r="O404" i="3"/>
  <c r="D404" i="3"/>
  <c r="E1238" i="20" s="1"/>
  <c r="D403" i="3"/>
  <c r="E1237" i="20" s="1"/>
  <c r="B400" i="3"/>
  <c r="B404" i="3" s="1"/>
  <c r="B399" i="3"/>
  <c r="B403" i="3" s="1"/>
  <c r="B385" i="3"/>
  <c r="B390" i="3" s="1"/>
  <c r="B383" i="3"/>
  <c r="B388" i="3" s="1"/>
  <c r="E372" i="3"/>
  <c r="F372" i="3"/>
  <c r="G1171" i="20" s="1"/>
  <c r="G372" i="3"/>
  <c r="H372" i="3"/>
  <c r="I1171" i="20" s="1"/>
  <c r="I372" i="3"/>
  <c r="J1175" i="8" s="1"/>
  <c r="J372" i="3"/>
  <c r="K1171" i="20" s="1"/>
  <c r="K372" i="3"/>
  <c r="L372" i="3"/>
  <c r="M1171" i="20" s="1"/>
  <c r="M372" i="3"/>
  <c r="N1175" i="8" s="1"/>
  <c r="N372" i="3"/>
  <c r="O1171" i="20" s="1"/>
  <c r="O372" i="3"/>
  <c r="P1171" i="20" s="1"/>
  <c r="E373" i="3"/>
  <c r="F1176" i="8" s="1"/>
  <c r="F373" i="3"/>
  <c r="G1176" i="8" s="1"/>
  <c r="G373" i="3"/>
  <c r="H1172" i="20" s="1"/>
  <c r="H373" i="3"/>
  <c r="I1176" i="8" s="1"/>
  <c r="I373" i="3"/>
  <c r="J1176" i="8" s="1"/>
  <c r="J373" i="3"/>
  <c r="K1172" i="20" s="1"/>
  <c r="K373" i="3"/>
  <c r="L1172" i="20" s="1"/>
  <c r="L373" i="3"/>
  <c r="M1172" i="20" s="1"/>
  <c r="M373" i="3"/>
  <c r="N1172" i="20" s="1"/>
  <c r="N373" i="3"/>
  <c r="O373" i="3"/>
  <c r="P1176" i="8" s="1"/>
  <c r="D373" i="3"/>
  <c r="D372" i="3"/>
  <c r="E1171" i="20" s="1"/>
  <c r="B373" i="3"/>
  <c r="B372" i="3"/>
  <c r="B369" i="3"/>
  <c r="B368" i="3"/>
  <c r="B324" i="3"/>
  <c r="B325" i="3"/>
  <c r="B326" i="3"/>
  <c r="B323" i="3"/>
  <c r="B318" i="3"/>
  <c r="B319" i="3"/>
  <c r="B320" i="3"/>
  <c r="B317" i="3"/>
  <c r="B304" i="3"/>
  <c r="B305" i="3"/>
  <c r="B306" i="3"/>
  <c r="B303" i="3"/>
  <c r="B298" i="3"/>
  <c r="B299" i="3"/>
  <c r="B300" i="3"/>
  <c r="B297" i="3"/>
  <c r="B273" i="3"/>
  <c r="B271" i="3"/>
  <c r="B268" i="3"/>
  <c r="B266" i="3"/>
  <c r="E254" i="3"/>
  <c r="F254" i="3"/>
  <c r="G941" i="20" s="1"/>
  <c r="G254" i="3"/>
  <c r="H941" i="20" s="1"/>
  <c r="H254" i="3"/>
  <c r="I944" i="8" s="1"/>
  <c r="I254" i="3"/>
  <c r="J254" i="3"/>
  <c r="K944" i="8" s="1"/>
  <c r="K254" i="3"/>
  <c r="L941" i="20" s="1"/>
  <c r="L254" i="3"/>
  <c r="M944" i="8" s="1"/>
  <c r="M254" i="3"/>
  <c r="N941" i="20" s="1"/>
  <c r="N254" i="3"/>
  <c r="O254" i="3"/>
  <c r="E256" i="3"/>
  <c r="F256" i="3"/>
  <c r="G943" i="20" s="1"/>
  <c r="G256" i="3"/>
  <c r="H256" i="3"/>
  <c r="I943" i="20" s="1"/>
  <c r="I256" i="3"/>
  <c r="J943" i="20" s="1"/>
  <c r="J256" i="3"/>
  <c r="K943" i="20" s="1"/>
  <c r="K256" i="3"/>
  <c r="L256" i="3"/>
  <c r="M943" i="20" s="1"/>
  <c r="M256" i="3"/>
  <c r="N943" i="20" s="1"/>
  <c r="N256" i="3"/>
  <c r="O256" i="3"/>
  <c r="P943" i="20" s="1"/>
  <c r="D256" i="3"/>
  <c r="E946" i="8" s="1"/>
  <c r="B256" i="3"/>
  <c r="B254" i="3"/>
  <c r="B251" i="3"/>
  <c r="B249" i="3"/>
  <c r="O236" i="3"/>
  <c r="P898" i="8" s="1"/>
  <c r="O237" i="3"/>
  <c r="O238" i="3"/>
  <c r="P898" i="20" s="1"/>
  <c r="O239" i="3"/>
  <c r="E236" i="3"/>
  <c r="F236" i="3"/>
  <c r="G898" i="8" s="1"/>
  <c r="G236" i="3"/>
  <c r="H896" i="20" s="1"/>
  <c r="H236" i="3"/>
  <c r="I898" i="8" s="1"/>
  <c r="I236" i="3"/>
  <c r="J236" i="3"/>
  <c r="K896" i="20" s="1"/>
  <c r="K236" i="3"/>
  <c r="L898" i="8" s="1"/>
  <c r="L236" i="3"/>
  <c r="M896" i="20" s="1"/>
  <c r="M236" i="3"/>
  <c r="N896" i="20" s="1"/>
  <c r="N236" i="3"/>
  <c r="O898" i="8" s="1"/>
  <c r="E237" i="3"/>
  <c r="F899" i="8" s="1"/>
  <c r="F237" i="3"/>
  <c r="G897" i="20" s="1"/>
  <c r="G237" i="3"/>
  <c r="H237" i="3"/>
  <c r="I237" i="3"/>
  <c r="J897" i="20" s="1"/>
  <c r="J237" i="3"/>
  <c r="K237" i="3"/>
  <c r="L237" i="3"/>
  <c r="M237" i="3"/>
  <c r="N899" i="8" s="1"/>
  <c r="N237" i="3"/>
  <c r="E238" i="3"/>
  <c r="F900" i="8" s="1"/>
  <c r="F238" i="3"/>
  <c r="G900" i="8" s="1"/>
  <c r="G238" i="3"/>
  <c r="H898" i="20" s="1"/>
  <c r="H238" i="3"/>
  <c r="I238" i="3"/>
  <c r="J900" i="8" s="1"/>
  <c r="J238" i="3"/>
  <c r="K900" i="8" s="1"/>
  <c r="K238" i="3"/>
  <c r="L900" i="8" s="1"/>
  <c r="L238" i="3"/>
  <c r="M238" i="3"/>
  <c r="N238" i="3"/>
  <c r="E239" i="3"/>
  <c r="F899" i="20" s="1"/>
  <c r="F239" i="3"/>
  <c r="G239" i="3"/>
  <c r="H901" i="8" s="1"/>
  <c r="H239" i="3"/>
  <c r="I901" i="8" s="1"/>
  <c r="I239" i="3"/>
  <c r="J901" i="8" s="1"/>
  <c r="J239" i="3"/>
  <c r="K901" i="8" s="1"/>
  <c r="K239" i="3"/>
  <c r="L239" i="3"/>
  <c r="M899" i="20" s="1"/>
  <c r="M239" i="3"/>
  <c r="N899" i="20" s="1"/>
  <c r="N239" i="3"/>
  <c r="O899" i="20" s="1"/>
  <c r="D237" i="3"/>
  <c r="D238" i="3"/>
  <c r="E898" i="20" s="1"/>
  <c r="D239" i="3"/>
  <c r="E901" i="8" s="1"/>
  <c r="D236" i="3"/>
  <c r="B237" i="3"/>
  <c r="B238" i="3"/>
  <c r="B239" i="3"/>
  <c r="B236" i="3"/>
  <c r="B231" i="3"/>
  <c r="B232" i="3"/>
  <c r="B233" i="3"/>
  <c r="B230" i="3"/>
  <c r="E203" i="3"/>
  <c r="F203" i="3"/>
  <c r="G853" i="8" s="1"/>
  <c r="G203" i="3"/>
  <c r="H853" i="8" s="1"/>
  <c r="H203" i="3"/>
  <c r="I852" i="20" s="1"/>
  <c r="I203" i="3"/>
  <c r="J203" i="3"/>
  <c r="K852" i="20" s="1"/>
  <c r="K203" i="3"/>
  <c r="L852" i="20" s="1"/>
  <c r="L203" i="3"/>
  <c r="M203" i="3"/>
  <c r="N203" i="3"/>
  <c r="O852" i="20" s="1"/>
  <c r="O203" i="3"/>
  <c r="P852" i="20" s="1"/>
  <c r="E204" i="3"/>
  <c r="F204" i="3"/>
  <c r="G204" i="3"/>
  <c r="H853" i="20" s="1"/>
  <c r="H204" i="3"/>
  <c r="I853" i="20" s="1"/>
  <c r="I204" i="3"/>
  <c r="J204" i="3"/>
  <c r="K204" i="3"/>
  <c r="L854" i="8" s="1"/>
  <c r="L204" i="3"/>
  <c r="M853" i="20" s="1"/>
  <c r="M204" i="3"/>
  <c r="N854" i="8" s="1"/>
  <c r="N204" i="3"/>
  <c r="O854" i="8" s="1"/>
  <c r="O204" i="3"/>
  <c r="E205" i="3"/>
  <c r="F854" i="20" s="1"/>
  <c r="F205" i="3"/>
  <c r="G205" i="3"/>
  <c r="H205" i="3"/>
  <c r="I854" i="20" s="1"/>
  <c r="I205" i="3"/>
  <c r="J855" i="8" s="1"/>
  <c r="J205" i="3"/>
  <c r="K854" i="20" s="1"/>
  <c r="K205" i="3"/>
  <c r="L855" i="8" s="1"/>
  <c r="L205" i="3"/>
  <c r="M205" i="3"/>
  <c r="N855" i="8" s="1"/>
  <c r="N205" i="3"/>
  <c r="O855" i="8" s="1"/>
  <c r="O205" i="3"/>
  <c r="E206" i="3"/>
  <c r="F206" i="3"/>
  <c r="G856" i="8" s="1"/>
  <c r="G206" i="3"/>
  <c r="H206" i="3"/>
  <c r="I855" i="20" s="1"/>
  <c r="I206" i="3"/>
  <c r="J856" i="8" s="1"/>
  <c r="J206" i="3"/>
  <c r="K855" i="20" s="1"/>
  <c r="K206" i="3"/>
  <c r="L206" i="3"/>
  <c r="M206" i="3"/>
  <c r="N855" i="20" s="1"/>
  <c r="N206" i="3"/>
  <c r="O206" i="3"/>
  <c r="P856" i="8" s="1"/>
  <c r="D204" i="3"/>
  <c r="E854" i="8" s="1"/>
  <c r="D205" i="3"/>
  <c r="E855" i="8" s="1"/>
  <c r="D206" i="3"/>
  <c r="E856" i="8" s="1"/>
  <c r="D203" i="3"/>
  <c r="B204" i="3"/>
  <c r="B205" i="3"/>
  <c r="B206" i="3"/>
  <c r="B203" i="3"/>
  <c r="B200" i="3"/>
  <c r="B198" i="3"/>
  <c r="B199" i="3"/>
  <c r="B197" i="3"/>
  <c r="B126" i="3"/>
  <c r="B127" i="3"/>
  <c r="B128" i="3"/>
  <c r="B125" i="3"/>
  <c r="B120" i="3"/>
  <c r="B121" i="3"/>
  <c r="B122" i="3"/>
  <c r="B119" i="3"/>
  <c r="B93" i="3"/>
  <c r="B94" i="3"/>
  <c r="B95" i="3"/>
  <c r="B92" i="3"/>
  <c r="B87" i="3"/>
  <c r="B88" i="3"/>
  <c r="B89" i="3"/>
  <c r="B86" i="3"/>
  <c r="A259" i="2"/>
  <c r="A210" i="2"/>
  <c r="D424" i="20"/>
  <c r="D544" i="20"/>
  <c r="D602" i="20"/>
  <c r="D1097" i="20"/>
  <c r="D1116" i="20"/>
  <c r="D1175" i="20"/>
  <c r="G1366" i="8"/>
  <c r="H1366" i="8"/>
  <c r="I1366" i="8"/>
  <c r="J1366" i="8"/>
  <c r="K1366" i="8"/>
  <c r="L1366" i="8"/>
  <c r="M1366" i="8"/>
  <c r="N1366" i="8"/>
  <c r="O1366" i="8"/>
  <c r="P1366" i="8"/>
  <c r="Q1366" i="8"/>
  <c r="F1366" i="8"/>
  <c r="G1365" i="8"/>
  <c r="H1365" i="8"/>
  <c r="I1365" i="8"/>
  <c r="J1365" i="8"/>
  <c r="K1365" i="8"/>
  <c r="L1365" i="8"/>
  <c r="M1365" i="8"/>
  <c r="N1365" i="8"/>
  <c r="O1365" i="8"/>
  <c r="P1365" i="8"/>
  <c r="Q1365" i="8"/>
  <c r="F1365" i="8"/>
  <c r="R1356" i="8"/>
  <c r="R1348" i="8"/>
  <c r="E22" i="23"/>
  <c r="E28" i="23" s="1"/>
  <c r="E34" i="23" s="1"/>
  <c r="E40" i="23" s="1"/>
  <c r="E46" i="23" s="1"/>
  <c r="E52" i="23" s="1"/>
  <c r="F22" i="23"/>
  <c r="F28" i="23" s="1"/>
  <c r="F34" i="23" s="1"/>
  <c r="F40" i="23" s="1"/>
  <c r="F46" i="23" s="1"/>
  <c r="F52" i="23" s="1"/>
  <c r="G22" i="23"/>
  <c r="G28" i="23" s="1"/>
  <c r="G34" i="23" s="1"/>
  <c r="G40" i="23" s="1"/>
  <c r="G46" i="23" s="1"/>
  <c r="G52" i="23" s="1"/>
  <c r="H22" i="23"/>
  <c r="H28" i="23" s="1"/>
  <c r="H34" i="23" s="1"/>
  <c r="H40" i="23" s="1"/>
  <c r="H46" i="23" s="1"/>
  <c r="H52" i="23" s="1"/>
  <c r="I22" i="23"/>
  <c r="I28" i="23" s="1"/>
  <c r="I34" i="23" s="1"/>
  <c r="I40" i="23" s="1"/>
  <c r="I46" i="23" s="1"/>
  <c r="I52" i="23" s="1"/>
  <c r="J22" i="23"/>
  <c r="J28" i="23" s="1"/>
  <c r="J34" i="23" s="1"/>
  <c r="J40" i="23" s="1"/>
  <c r="J46" i="23" s="1"/>
  <c r="J52" i="23" s="1"/>
  <c r="K22" i="23"/>
  <c r="K28" i="23" s="1"/>
  <c r="K34" i="23" s="1"/>
  <c r="K40" i="23" s="1"/>
  <c r="K46" i="23" s="1"/>
  <c r="K52" i="23" s="1"/>
  <c r="L22" i="23"/>
  <c r="L28" i="23" s="1"/>
  <c r="L34" i="23" s="1"/>
  <c r="L40" i="23" s="1"/>
  <c r="L46" i="23" s="1"/>
  <c r="L52" i="23" s="1"/>
  <c r="M22" i="23"/>
  <c r="M28" i="23" s="1"/>
  <c r="M34" i="23" s="1"/>
  <c r="M40" i="23" s="1"/>
  <c r="M46" i="23" s="1"/>
  <c r="M52" i="23" s="1"/>
  <c r="N22" i="23"/>
  <c r="N28" i="23" s="1"/>
  <c r="N34" i="23" s="1"/>
  <c r="N40" i="23" s="1"/>
  <c r="N46" i="23" s="1"/>
  <c r="N52" i="23" s="1"/>
  <c r="O22" i="23"/>
  <c r="O28" i="23" s="1"/>
  <c r="O34" i="23" s="1"/>
  <c r="O40" i="23" s="1"/>
  <c r="O46" i="23" s="1"/>
  <c r="O52" i="23" s="1"/>
  <c r="D22" i="23"/>
  <c r="D28" i="23" s="1"/>
  <c r="D34" i="23" s="1"/>
  <c r="D40" i="23" s="1"/>
  <c r="D46" i="23" s="1"/>
  <c r="D52" i="23" s="1"/>
  <c r="C11" i="1"/>
  <c r="D797" i="8"/>
  <c r="G1361" i="8"/>
  <c r="H1361" i="8"/>
  <c r="I1361" i="8"/>
  <c r="J1361" i="8"/>
  <c r="K1361" i="8"/>
  <c r="L1361" i="8"/>
  <c r="M1361" i="8"/>
  <c r="N1361" i="8"/>
  <c r="O1361" i="8"/>
  <c r="P1361" i="8"/>
  <c r="Q1361" i="8"/>
  <c r="G1353" i="8"/>
  <c r="H1353" i="8"/>
  <c r="I1353" i="8"/>
  <c r="J1353" i="8"/>
  <c r="K1353" i="8"/>
  <c r="L1353" i="8"/>
  <c r="M1353" i="8"/>
  <c r="N1353" i="8"/>
  <c r="O1353" i="8"/>
  <c r="P1353" i="8"/>
  <c r="Q1353" i="8"/>
  <c r="R1351" i="8"/>
  <c r="R1359" i="8"/>
  <c r="R1360" i="8"/>
  <c r="R1358" i="8"/>
  <c r="R1357" i="8"/>
  <c r="R1355" i="8"/>
  <c r="R1349" i="8"/>
  <c r="R1350" i="8"/>
  <c r="R1352" i="8"/>
  <c r="R1347" i="8"/>
  <c r="F1361" i="8"/>
  <c r="F1353" i="8"/>
  <c r="N281" i="2"/>
  <c r="I170" i="2"/>
  <c r="A413" i="3"/>
  <c r="A412" i="3"/>
  <c r="A411" i="3"/>
  <c r="A410" i="3"/>
  <c r="A346" i="3"/>
  <c r="A345" i="3"/>
  <c r="A344" i="3"/>
  <c r="A343" i="3"/>
  <c r="A216" i="3"/>
  <c r="A215" i="3"/>
  <c r="A214" i="3"/>
  <c r="A213" i="3"/>
  <c r="A150" i="3"/>
  <c r="A149" i="3"/>
  <c r="A148" i="3"/>
  <c r="A147" i="3"/>
  <c r="A105" i="3"/>
  <c r="A104" i="3"/>
  <c r="A103" i="3"/>
  <c r="A102" i="3"/>
  <c r="A60" i="3"/>
  <c r="A59" i="3"/>
  <c r="A58" i="3"/>
  <c r="A261" i="2"/>
  <c r="A260" i="2"/>
  <c r="A258" i="2"/>
  <c r="A212" i="2"/>
  <c r="A211" i="2"/>
  <c r="A209" i="2"/>
  <c r="A111" i="2"/>
  <c r="A110" i="2"/>
  <c r="A109" i="2"/>
  <c r="A108" i="2"/>
  <c r="A60" i="2"/>
  <c r="A59" i="2"/>
  <c r="A58" i="2"/>
  <c r="A1195" i="20"/>
  <c r="A1194" i="20"/>
  <c r="A1193" i="20"/>
  <c r="A1192" i="20"/>
  <c r="A1137" i="20"/>
  <c r="A1136" i="20"/>
  <c r="A1135" i="20"/>
  <c r="A1134" i="20"/>
  <c r="A1067" i="20"/>
  <c r="A1066" i="20"/>
  <c r="A1065" i="20"/>
  <c r="A1064" i="20"/>
  <c r="A994" i="20"/>
  <c r="A993" i="20"/>
  <c r="A992" i="20"/>
  <c r="A991" i="20"/>
  <c r="A924" i="20"/>
  <c r="A923" i="20"/>
  <c r="A922" i="20"/>
  <c r="A921" i="20"/>
  <c r="A880" i="20"/>
  <c r="A879" i="20"/>
  <c r="A878" i="20"/>
  <c r="A877" i="20"/>
  <c r="A809" i="20"/>
  <c r="A808" i="20"/>
  <c r="A807" i="20"/>
  <c r="A806" i="20"/>
  <c r="A738" i="20"/>
  <c r="A737" i="20"/>
  <c r="A736" i="20"/>
  <c r="A735" i="20"/>
  <c r="A688" i="20"/>
  <c r="A687" i="20"/>
  <c r="A686" i="20"/>
  <c r="A685" i="20"/>
  <c r="A637" i="20"/>
  <c r="A636" i="20"/>
  <c r="A635" i="20"/>
  <c r="A634" i="20"/>
  <c r="A582" i="20"/>
  <c r="A581" i="20"/>
  <c r="A580" i="20"/>
  <c r="A579" i="20"/>
  <c r="A515" i="20"/>
  <c r="A514" i="20"/>
  <c r="A513" i="20"/>
  <c r="A512" i="20"/>
  <c r="A446" i="20"/>
  <c r="A445" i="20"/>
  <c r="A444" i="20"/>
  <c r="A443" i="20"/>
  <c r="A385" i="20"/>
  <c r="A384" i="20"/>
  <c r="A383" i="20"/>
  <c r="A382" i="20"/>
  <c r="A9" i="20"/>
  <c r="A8" i="20"/>
  <c r="A7" i="20"/>
  <c r="A6" i="20"/>
  <c r="A338" i="20"/>
  <c r="A337" i="20"/>
  <c r="A336" i="20"/>
  <c r="A335" i="20"/>
  <c r="A275" i="20"/>
  <c r="A274" i="20"/>
  <c r="A273" i="20"/>
  <c r="A272" i="20"/>
  <c r="A213" i="20"/>
  <c r="A212" i="20"/>
  <c r="A211" i="20"/>
  <c r="A210" i="20"/>
  <c r="A172" i="20"/>
  <c r="A171" i="20"/>
  <c r="A170" i="20"/>
  <c r="A169" i="20"/>
  <c r="A116" i="20"/>
  <c r="A115" i="20"/>
  <c r="A114" i="20"/>
  <c r="A1199" i="8"/>
  <c r="A1198" i="8"/>
  <c r="A1197" i="8"/>
  <c r="A1196" i="8"/>
  <c r="A1141" i="8"/>
  <c r="A1140" i="8"/>
  <c r="A1139" i="8"/>
  <c r="A1138" i="8"/>
  <c r="A1071" i="8"/>
  <c r="A1070" i="8"/>
  <c r="A1069" i="8"/>
  <c r="A1068" i="8"/>
  <c r="A997" i="8"/>
  <c r="A996" i="8"/>
  <c r="A995" i="8"/>
  <c r="A994" i="8"/>
  <c r="A812" i="8"/>
  <c r="A811" i="8"/>
  <c r="A810" i="8"/>
  <c r="A809" i="8"/>
  <c r="A741" i="8"/>
  <c r="A740" i="8"/>
  <c r="A739" i="8"/>
  <c r="A738" i="8"/>
  <c r="A690" i="8"/>
  <c r="A689" i="8"/>
  <c r="A688" i="8"/>
  <c r="A687" i="8"/>
  <c r="A640" i="8"/>
  <c r="A639" i="8"/>
  <c r="A638" i="8"/>
  <c r="A637" i="8"/>
  <c r="A584" i="8"/>
  <c r="A583" i="8"/>
  <c r="A582" i="8"/>
  <c r="A581" i="8"/>
  <c r="A517" i="8"/>
  <c r="A516" i="8"/>
  <c r="A515" i="8"/>
  <c r="A514" i="8"/>
  <c r="A449" i="8"/>
  <c r="A448" i="8"/>
  <c r="A447" i="8"/>
  <c r="A446" i="8"/>
  <c r="A389" i="8"/>
  <c r="A388" i="8"/>
  <c r="A387" i="8"/>
  <c r="A386" i="8"/>
  <c r="A9" i="8"/>
  <c r="A8" i="8"/>
  <c r="A7" i="8"/>
  <c r="A6" i="8"/>
  <c r="A280" i="8"/>
  <c r="A279" i="8"/>
  <c r="A278" i="8"/>
  <c r="A277" i="8"/>
  <c r="A217" i="8"/>
  <c r="A216" i="8"/>
  <c r="A215" i="8"/>
  <c r="A214" i="8"/>
  <c r="A118" i="8"/>
  <c r="A117" i="8"/>
  <c r="A116" i="8"/>
  <c r="P366" i="20"/>
  <c r="P30" i="20" s="1"/>
  <c r="P367" i="20"/>
  <c r="P31" i="20" s="1"/>
  <c r="P368" i="20"/>
  <c r="P32" i="20" s="1"/>
  <c r="P369" i="20"/>
  <c r="P33" i="20" s="1"/>
  <c r="O250" i="2"/>
  <c r="O252" i="2" s="1"/>
  <c r="O186" i="2"/>
  <c r="O188" i="2" s="1"/>
  <c r="P965" i="8" s="1"/>
  <c r="H22" i="5"/>
  <c r="H24" i="5" s="1"/>
  <c r="J22" i="5"/>
  <c r="J24" i="5" s="1"/>
  <c r="G182" i="2"/>
  <c r="O317" i="3"/>
  <c r="O323" i="3" s="1"/>
  <c r="O318" i="3"/>
  <c r="O324" i="3" s="1"/>
  <c r="P1043" i="8" s="1"/>
  <c r="O319" i="3"/>
  <c r="O320" i="3"/>
  <c r="O326" i="3" s="1"/>
  <c r="P1042" i="20" s="1"/>
  <c r="O297" i="3"/>
  <c r="O303" i="3" s="1"/>
  <c r="P1014" i="8" s="1"/>
  <c r="O298" i="3"/>
  <c r="O304" i="3" s="1"/>
  <c r="P1012" i="20" s="1"/>
  <c r="O300" i="3"/>
  <c r="O306" i="3" s="1"/>
  <c r="O120" i="3"/>
  <c r="O121" i="3"/>
  <c r="O127" i="3" s="1"/>
  <c r="P708" i="8" s="1"/>
  <c r="O122" i="3"/>
  <c r="O128" i="3" s="1"/>
  <c r="P709" i="8" s="1"/>
  <c r="Q1247" i="20"/>
  <c r="Q1223" i="20"/>
  <c r="Q1195" i="20"/>
  <c r="Q1193" i="20"/>
  <c r="Q1181" i="20"/>
  <c r="Q1157" i="20"/>
  <c r="Q1137" i="20"/>
  <c r="Q1135" i="20"/>
  <c r="Q1123" i="20"/>
  <c r="Q1105" i="20"/>
  <c r="Q1087" i="20"/>
  <c r="Q1067" i="20"/>
  <c r="Q1065" i="20"/>
  <c r="Q1053" i="20"/>
  <c r="Q1025" i="20"/>
  <c r="Q994" i="20"/>
  <c r="Q992" i="20"/>
  <c r="Q980" i="20"/>
  <c r="Q953" i="20"/>
  <c r="Q924" i="20"/>
  <c r="Q922" i="20"/>
  <c r="Q910" i="20"/>
  <c r="Q880" i="20"/>
  <c r="Q878" i="20"/>
  <c r="Q866" i="20"/>
  <c r="Q831" i="20"/>
  <c r="Q809" i="20"/>
  <c r="Q807" i="20"/>
  <c r="Q738" i="20"/>
  <c r="Q736" i="20"/>
  <c r="Q688" i="20"/>
  <c r="Q686" i="20"/>
  <c r="Q637" i="20"/>
  <c r="Q635" i="20"/>
  <c r="Q623" i="20"/>
  <c r="Q607" i="20"/>
  <c r="Q568" i="20"/>
  <c r="Q582" i="20"/>
  <c r="Q580" i="20"/>
  <c r="Q551" i="20"/>
  <c r="Q534" i="20"/>
  <c r="Q500" i="20"/>
  <c r="Q515" i="20"/>
  <c r="Q513" i="20"/>
  <c r="Q483" i="20"/>
  <c r="Q446" i="20"/>
  <c r="Q444" i="20"/>
  <c r="Q385" i="20"/>
  <c r="Q383" i="20"/>
  <c r="Q9" i="20"/>
  <c r="Q7" i="20"/>
  <c r="Q338" i="20"/>
  <c r="Q336" i="20"/>
  <c r="Q275" i="20"/>
  <c r="Q273" i="20"/>
  <c r="Q213" i="20"/>
  <c r="Q211" i="20"/>
  <c r="Q172" i="20"/>
  <c r="Q170" i="20"/>
  <c r="Q117" i="20"/>
  <c r="Q115" i="20"/>
  <c r="Q55" i="20"/>
  <c r="P1152" i="20"/>
  <c r="P358" i="20"/>
  <c r="P351" i="20"/>
  <c r="P324" i="20"/>
  <c r="P317" i="20"/>
  <c r="P310" i="20"/>
  <c r="P303" i="20"/>
  <c r="P296" i="20"/>
  <c r="P289" i="20"/>
  <c r="P261" i="20"/>
  <c r="P254" i="20"/>
  <c r="P247" i="20"/>
  <c r="P240" i="20"/>
  <c r="P233" i="20"/>
  <c r="P226" i="20"/>
  <c r="P151" i="20"/>
  <c r="P144" i="20"/>
  <c r="P137" i="20"/>
  <c r="P130" i="20"/>
  <c r="P103" i="20"/>
  <c r="P96" i="20"/>
  <c r="P89" i="20"/>
  <c r="O1203" i="8"/>
  <c r="N1203" i="8"/>
  <c r="M1203" i="8"/>
  <c r="L1203" i="8"/>
  <c r="K1203" i="8"/>
  <c r="J1203" i="8"/>
  <c r="I1203" i="8"/>
  <c r="H1203" i="8"/>
  <c r="G1203" i="8"/>
  <c r="F1203" i="8"/>
  <c r="E1203" i="8"/>
  <c r="O1145" i="8"/>
  <c r="N1145" i="8"/>
  <c r="M1145" i="8"/>
  <c r="L1145" i="8"/>
  <c r="K1145" i="8"/>
  <c r="J1145" i="8"/>
  <c r="I1145" i="8"/>
  <c r="H1145" i="8"/>
  <c r="G1145" i="8"/>
  <c r="F1145" i="8"/>
  <c r="E1145" i="8"/>
  <c r="O1075" i="8"/>
  <c r="N1075" i="8"/>
  <c r="M1075" i="8"/>
  <c r="L1075" i="8"/>
  <c r="K1075" i="8"/>
  <c r="J1075" i="8"/>
  <c r="I1075" i="8"/>
  <c r="H1075" i="8"/>
  <c r="G1075" i="8"/>
  <c r="F1075" i="8"/>
  <c r="E1075" i="8"/>
  <c r="O1001" i="8"/>
  <c r="N1001" i="8"/>
  <c r="M1001" i="8"/>
  <c r="L1001" i="8"/>
  <c r="K1001" i="8"/>
  <c r="J1001" i="8"/>
  <c r="I1001" i="8"/>
  <c r="H1001" i="8"/>
  <c r="G1001" i="8"/>
  <c r="F1001" i="8"/>
  <c r="E1001" i="8"/>
  <c r="O816" i="8"/>
  <c r="N816" i="8"/>
  <c r="M816" i="8"/>
  <c r="L816" i="8"/>
  <c r="K816" i="8"/>
  <c r="J816" i="8"/>
  <c r="I816" i="8"/>
  <c r="H816" i="8"/>
  <c r="G816" i="8"/>
  <c r="F816" i="8"/>
  <c r="E816" i="8"/>
  <c r="O745" i="8"/>
  <c r="N745" i="8"/>
  <c r="M745" i="8"/>
  <c r="L745" i="8"/>
  <c r="K745" i="8"/>
  <c r="J745" i="8"/>
  <c r="I745" i="8"/>
  <c r="H745" i="8"/>
  <c r="G745" i="8"/>
  <c r="F745" i="8"/>
  <c r="E745" i="8"/>
  <c r="O694" i="8"/>
  <c r="N694" i="8"/>
  <c r="M694" i="8"/>
  <c r="L694" i="8"/>
  <c r="K694" i="8"/>
  <c r="J694" i="8"/>
  <c r="I694" i="8"/>
  <c r="H694" i="8"/>
  <c r="G694" i="8"/>
  <c r="F694" i="8"/>
  <c r="E694" i="8"/>
  <c r="O644" i="8"/>
  <c r="N644" i="8"/>
  <c r="M644" i="8"/>
  <c r="L644" i="8"/>
  <c r="K644" i="8"/>
  <c r="J644" i="8"/>
  <c r="I644" i="8"/>
  <c r="H644" i="8"/>
  <c r="G644" i="8"/>
  <c r="F644" i="8"/>
  <c r="E644" i="8"/>
  <c r="O588" i="8"/>
  <c r="N588" i="8"/>
  <c r="M588" i="8"/>
  <c r="L588" i="8"/>
  <c r="K588" i="8"/>
  <c r="J588" i="8"/>
  <c r="I588" i="8"/>
  <c r="H588" i="8"/>
  <c r="G588" i="8"/>
  <c r="F588" i="8"/>
  <c r="E588" i="8"/>
  <c r="O521" i="8"/>
  <c r="N521" i="8"/>
  <c r="M521" i="8"/>
  <c r="L521" i="8"/>
  <c r="K521" i="8"/>
  <c r="J521" i="8"/>
  <c r="I521" i="8"/>
  <c r="H521" i="8"/>
  <c r="G521" i="8"/>
  <c r="F521" i="8"/>
  <c r="E521" i="8"/>
  <c r="O453" i="8"/>
  <c r="N453" i="8"/>
  <c r="M453" i="8"/>
  <c r="L453" i="8"/>
  <c r="K453" i="8"/>
  <c r="J453" i="8"/>
  <c r="I453" i="8"/>
  <c r="H453" i="8"/>
  <c r="G453" i="8"/>
  <c r="F453" i="8"/>
  <c r="E453" i="8"/>
  <c r="O393" i="8"/>
  <c r="N393" i="8"/>
  <c r="M393" i="8"/>
  <c r="L393" i="8"/>
  <c r="K393" i="8"/>
  <c r="J393" i="8"/>
  <c r="I393" i="8"/>
  <c r="H393" i="8"/>
  <c r="G393" i="8"/>
  <c r="F393" i="8"/>
  <c r="E393" i="8"/>
  <c r="O13" i="8"/>
  <c r="N13" i="8"/>
  <c r="M13" i="8"/>
  <c r="L13" i="8"/>
  <c r="K13" i="8"/>
  <c r="J13" i="8"/>
  <c r="I13" i="8"/>
  <c r="H13" i="8"/>
  <c r="G13" i="8"/>
  <c r="F13" i="8"/>
  <c r="E13" i="8"/>
  <c r="O284" i="8"/>
  <c r="N284" i="8"/>
  <c r="M284" i="8"/>
  <c r="L284" i="8"/>
  <c r="K284" i="8"/>
  <c r="J284" i="8"/>
  <c r="I284" i="8"/>
  <c r="H284" i="8"/>
  <c r="G284" i="8"/>
  <c r="F284" i="8"/>
  <c r="E284" i="8"/>
  <c r="O222" i="8"/>
  <c r="N222" i="8"/>
  <c r="M222" i="8"/>
  <c r="L222" i="8"/>
  <c r="K222" i="8"/>
  <c r="J222" i="8"/>
  <c r="I222" i="8"/>
  <c r="H222" i="8"/>
  <c r="G222" i="8"/>
  <c r="F222" i="8"/>
  <c r="E222" i="8"/>
  <c r="O124" i="8"/>
  <c r="N124" i="8"/>
  <c r="M124" i="8"/>
  <c r="L124" i="8"/>
  <c r="K124" i="8"/>
  <c r="J124" i="8"/>
  <c r="I124" i="8"/>
  <c r="H124" i="8"/>
  <c r="G124" i="8"/>
  <c r="F124" i="8"/>
  <c r="E124" i="8"/>
  <c r="Q1228" i="8"/>
  <c r="Q1199" i="8"/>
  <c r="Q1197" i="8"/>
  <c r="Q1185" i="8"/>
  <c r="Q1161" i="8"/>
  <c r="Q1141" i="8"/>
  <c r="Q1139" i="8"/>
  <c r="Q1127" i="8"/>
  <c r="Q1109" i="8"/>
  <c r="Q1091" i="8"/>
  <c r="Q1071" i="8"/>
  <c r="Q1069" i="8"/>
  <c r="Q1056" i="8"/>
  <c r="Q1028" i="8"/>
  <c r="Q997" i="8"/>
  <c r="Q995" i="8"/>
  <c r="Q983" i="8"/>
  <c r="Q956" i="8"/>
  <c r="Q912" i="8"/>
  <c r="Q867" i="8"/>
  <c r="Q832" i="8"/>
  <c r="Q812" i="8"/>
  <c r="Q810" i="8"/>
  <c r="Q741" i="8"/>
  <c r="Q739" i="8"/>
  <c r="Q690" i="8"/>
  <c r="Q688" i="8"/>
  <c r="Q626" i="8"/>
  <c r="Q640" i="8"/>
  <c r="Q638" i="8"/>
  <c r="Q609" i="8"/>
  <c r="Q570" i="8"/>
  <c r="Q584" i="8"/>
  <c r="Q582" i="8"/>
  <c r="Q553" i="8"/>
  <c r="Q536" i="8"/>
  <c r="Q517" i="8"/>
  <c r="Q515" i="8"/>
  <c r="Q502" i="8"/>
  <c r="Q485" i="8"/>
  <c r="Q449" i="8"/>
  <c r="Q447" i="8"/>
  <c r="Q389" i="8"/>
  <c r="Q387" i="8"/>
  <c r="Q9" i="8"/>
  <c r="Q7" i="8"/>
  <c r="Q373" i="8"/>
  <c r="Q372" i="8"/>
  <c r="Q370" i="8"/>
  <c r="Q369" i="8"/>
  <c r="Q280" i="8"/>
  <c r="Q278" i="8"/>
  <c r="Q217" i="8"/>
  <c r="Q215" i="8"/>
  <c r="Q119" i="8"/>
  <c r="Q117" i="8"/>
  <c r="Q55" i="8"/>
  <c r="P33" i="8"/>
  <c r="P32" i="8"/>
  <c r="P31" i="8"/>
  <c r="P30" i="8"/>
  <c r="P29" i="8"/>
  <c r="P375" i="8"/>
  <c r="N25" i="22" s="1"/>
  <c r="P355" i="8"/>
  <c r="P328" i="8"/>
  <c r="P321" i="8"/>
  <c r="P314" i="8"/>
  <c r="P307" i="8"/>
  <c r="P300" i="8"/>
  <c r="P293" i="8"/>
  <c r="P266" i="8"/>
  <c r="P259" i="8"/>
  <c r="P252" i="8"/>
  <c r="P245" i="8"/>
  <c r="P238" i="8"/>
  <c r="P231" i="8"/>
  <c r="P154" i="8"/>
  <c r="P147" i="8"/>
  <c r="P140" i="8"/>
  <c r="P133" i="8"/>
  <c r="P104" i="8"/>
  <c r="P97" i="8"/>
  <c r="P90" i="8"/>
  <c r="R61" i="15"/>
  <c r="R59" i="15"/>
  <c r="R57" i="15"/>
  <c r="R46" i="15"/>
  <c r="R45" i="15"/>
  <c r="R44" i="15"/>
  <c r="R43" i="15"/>
  <c r="R41" i="15"/>
  <c r="R23" i="15"/>
  <c r="R20" i="15"/>
  <c r="R19" i="15"/>
  <c r="R18" i="15"/>
  <c r="R17" i="15"/>
  <c r="R15" i="15"/>
  <c r="Q9" i="15"/>
  <c r="P32" i="5"/>
  <c r="O95" i="3" s="1"/>
  <c r="P31" i="5"/>
  <c r="O94" i="3" s="1"/>
  <c r="P655" i="20" s="1"/>
  <c r="P30" i="5"/>
  <c r="O93" i="3" s="1"/>
  <c r="P29" i="5"/>
  <c r="O33" i="5"/>
  <c r="P21" i="5"/>
  <c r="P20" i="5"/>
  <c r="P19" i="5"/>
  <c r="P18" i="5"/>
  <c r="P16" i="5"/>
  <c r="O11" i="5"/>
  <c r="O416" i="3"/>
  <c r="N416" i="3"/>
  <c r="M416" i="3"/>
  <c r="L416" i="3"/>
  <c r="K416" i="3"/>
  <c r="J416" i="3"/>
  <c r="I416" i="3"/>
  <c r="H416" i="3"/>
  <c r="G416" i="3"/>
  <c r="F416" i="3"/>
  <c r="E416" i="3"/>
  <c r="D416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O64" i="3"/>
  <c r="N64" i="3"/>
  <c r="M64" i="3"/>
  <c r="L64" i="3"/>
  <c r="K64" i="3"/>
  <c r="J64" i="3"/>
  <c r="I64" i="3"/>
  <c r="H64" i="3"/>
  <c r="G64" i="3"/>
  <c r="F64" i="3"/>
  <c r="E64" i="3"/>
  <c r="D64" i="3"/>
  <c r="O423" i="3"/>
  <c r="O422" i="3"/>
  <c r="P400" i="3"/>
  <c r="P399" i="3"/>
  <c r="P396" i="3"/>
  <c r="P395" i="3"/>
  <c r="O401" i="3"/>
  <c r="O397" i="3"/>
  <c r="P380" i="3"/>
  <c r="P378" i="3"/>
  <c r="O381" i="3"/>
  <c r="P369" i="3"/>
  <c r="P368" i="3"/>
  <c r="P365" i="3"/>
  <c r="P364" i="3"/>
  <c r="O370" i="3"/>
  <c r="O366" i="3"/>
  <c r="P359" i="3"/>
  <c r="P358" i="3"/>
  <c r="P354" i="3"/>
  <c r="P353" i="3"/>
  <c r="P336" i="3"/>
  <c r="O337" i="3"/>
  <c r="O355" i="3"/>
  <c r="P1118" i="20" s="1"/>
  <c r="P308" i="20" s="1"/>
  <c r="O360" i="3"/>
  <c r="P1156" i="8" s="1"/>
  <c r="P319" i="8" s="1"/>
  <c r="P331" i="3"/>
  <c r="P330" i="3"/>
  <c r="O332" i="3"/>
  <c r="P314" i="3"/>
  <c r="P313" i="3"/>
  <c r="P312" i="3"/>
  <c r="P311" i="3"/>
  <c r="O315" i="3"/>
  <c r="P294" i="3"/>
  <c r="P293" i="3"/>
  <c r="P292" i="3"/>
  <c r="P291" i="3"/>
  <c r="O295" i="3"/>
  <c r="P263" i="3"/>
  <c r="P261" i="3"/>
  <c r="O264" i="3"/>
  <c r="P251" i="3"/>
  <c r="P249" i="3"/>
  <c r="P246" i="3"/>
  <c r="P244" i="3"/>
  <c r="O252" i="3"/>
  <c r="O247" i="3"/>
  <c r="P233" i="3"/>
  <c r="P232" i="3"/>
  <c r="P231" i="3"/>
  <c r="P230" i="3"/>
  <c r="P227" i="3"/>
  <c r="P226" i="3"/>
  <c r="P225" i="3"/>
  <c r="P224" i="3"/>
  <c r="O234" i="3"/>
  <c r="O228" i="3"/>
  <c r="P200" i="3"/>
  <c r="P199" i="3"/>
  <c r="P198" i="3"/>
  <c r="P197" i="3"/>
  <c r="P194" i="3"/>
  <c r="P193" i="3"/>
  <c r="P192" i="3"/>
  <c r="P186" i="3"/>
  <c r="P185" i="3"/>
  <c r="C455" i="3" s="1"/>
  <c r="E455" i="3" s="1"/>
  <c r="O201" i="3"/>
  <c r="O195" i="3"/>
  <c r="O187" i="3"/>
  <c r="P826" i="20" s="1"/>
  <c r="P224" i="20" s="1"/>
  <c r="O175" i="3"/>
  <c r="O174" i="3"/>
  <c r="P140" i="3"/>
  <c r="P139" i="3"/>
  <c r="P135" i="3"/>
  <c r="P133" i="3"/>
  <c r="O141" i="3"/>
  <c r="O136" i="3"/>
  <c r="O35" i="23" s="1"/>
  <c r="P83" i="3"/>
  <c r="P82" i="3"/>
  <c r="P81" i="3"/>
  <c r="P80" i="3"/>
  <c r="P75" i="3"/>
  <c r="P74" i="3"/>
  <c r="O84" i="3"/>
  <c r="O76" i="3"/>
  <c r="P70" i="3"/>
  <c r="P69" i="3"/>
  <c r="P51" i="3"/>
  <c r="P50" i="3"/>
  <c r="P46" i="3"/>
  <c r="P45" i="3"/>
  <c r="P41" i="3"/>
  <c r="P40" i="3"/>
  <c r="O71" i="3"/>
  <c r="O159" i="3" s="1"/>
  <c r="O52" i="3"/>
  <c r="P565" i="8" s="1"/>
  <c r="P138" i="8" s="1"/>
  <c r="O47" i="3"/>
  <c r="O42" i="3"/>
  <c r="P36" i="3"/>
  <c r="P35" i="3"/>
  <c r="P31" i="3"/>
  <c r="P30" i="3"/>
  <c r="P26" i="3"/>
  <c r="P25" i="3"/>
  <c r="P21" i="3"/>
  <c r="P20" i="3"/>
  <c r="P16" i="3"/>
  <c r="P15" i="3"/>
  <c r="O37" i="3"/>
  <c r="O32" i="3"/>
  <c r="P478" i="20" s="1"/>
  <c r="P87" i="20" s="1"/>
  <c r="O27" i="3"/>
  <c r="O22" i="3"/>
  <c r="O53" i="23" s="1"/>
  <c r="O11" i="3"/>
  <c r="O289" i="2"/>
  <c r="O287" i="2"/>
  <c r="O283" i="2"/>
  <c r="O277" i="2"/>
  <c r="O276" i="2"/>
  <c r="P270" i="2"/>
  <c r="P269" i="2"/>
  <c r="P268" i="2"/>
  <c r="P251" i="2"/>
  <c r="P249" i="2"/>
  <c r="P245" i="2"/>
  <c r="P244" i="2"/>
  <c r="P243" i="2"/>
  <c r="P239" i="2"/>
  <c r="P238" i="2"/>
  <c r="P237" i="2"/>
  <c r="O271" i="2"/>
  <c r="O246" i="2"/>
  <c r="O240" i="2"/>
  <c r="O234" i="2"/>
  <c r="P1118" i="8" s="1"/>
  <c r="P311" i="8" s="1"/>
  <c r="P233" i="2"/>
  <c r="P232" i="2"/>
  <c r="P231" i="2"/>
  <c r="P227" i="2"/>
  <c r="P226" i="2"/>
  <c r="P225" i="2"/>
  <c r="P221" i="2"/>
  <c r="P220" i="2"/>
  <c r="P219" i="2"/>
  <c r="P199" i="2"/>
  <c r="P197" i="2"/>
  <c r="P193" i="2"/>
  <c r="P191" i="2"/>
  <c r="O228" i="2"/>
  <c r="O222" i="2"/>
  <c r="P1082" i="8" s="1"/>
  <c r="P187" i="2"/>
  <c r="P185" i="2"/>
  <c r="P181" i="2"/>
  <c r="P179" i="2"/>
  <c r="P175" i="2"/>
  <c r="P174" i="2"/>
  <c r="P173" i="2"/>
  <c r="P169" i="2"/>
  <c r="P168" i="2"/>
  <c r="P163" i="2"/>
  <c r="P162" i="2"/>
  <c r="C309" i="2" s="1"/>
  <c r="E309" i="2" s="1"/>
  <c r="O176" i="2"/>
  <c r="O164" i="2"/>
  <c r="O120" i="2"/>
  <c r="O121" i="2"/>
  <c r="O137" i="2"/>
  <c r="O138" i="2"/>
  <c r="O139" i="2"/>
  <c r="P98" i="2"/>
  <c r="P97" i="2"/>
  <c r="P96" i="2"/>
  <c r="P92" i="2"/>
  <c r="P91" i="2"/>
  <c r="P90" i="2"/>
  <c r="O99" i="2"/>
  <c r="P780" i="20" s="1"/>
  <c r="O93" i="2"/>
  <c r="P86" i="2"/>
  <c r="P84" i="2"/>
  <c r="P80" i="2"/>
  <c r="P74" i="2"/>
  <c r="P73" i="2"/>
  <c r="O75" i="2"/>
  <c r="P69" i="2"/>
  <c r="P68" i="2"/>
  <c r="P51" i="2"/>
  <c r="P50" i="2"/>
  <c r="P46" i="2"/>
  <c r="P45" i="2"/>
  <c r="P41" i="2"/>
  <c r="P40" i="2"/>
  <c r="P36" i="2"/>
  <c r="P35" i="2"/>
  <c r="O70" i="2"/>
  <c r="O52" i="2"/>
  <c r="P562" i="8" s="1"/>
  <c r="O47" i="2"/>
  <c r="P545" i="8" s="1"/>
  <c r="P130" i="8" s="1"/>
  <c r="O42" i="2"/>
  <c r="O37" i="2"/>
  <c r="P31" i="2"/>
  <c r="P30" i="2"/>
  <c r="P26" i="2"/>
  <c r="P25" i="2"/>
  <c r="P21" i="2"/>
  <c r="P20" i="2"/>
  <c r="P16" i="2"/>
  <c r="P15" i="2"/>
  <c r="O22" i="2"/>
  <c r="O27" i="2"/>
  <c r="O32" i="2"/>
  <c r="R5" i="15"/>
  <c r="P410" i="3"/>
  <c r="P343" i="3"/>
  <c r="P213" i="3"/>
  <c r="P147" i="3"/>
  <c r="P102" i="3"/>
  <c r="P58" i="3"/>
  <c r="P260" i="2"/>
  <c r="P211" i="2"/>
  <c r="P110" i="2"/>
  <c r="P60" i="2"/>
  <c r="B354" i="20"/>
  <c r="B1228" i="20" s="1"/>
  <c r="B347" i="20"/>
  <c r="B1203" i="20" s="1"/>
  <c r="B320" i="20"/>
  <c r="B1162" i="20" s="1"/>
  <c r="B313" i="20"/>
  <c r="B1144" i="20" s="1"/>
  <c r="B306" i="20"/>
  <c r="B1110" i="20" s="1"/>
  <c r="B299" i="20"/>
  <c r="B1092" i="20" s="1"/>
  <c r="B292" i="20"/>
  <c r="B1074" i="20" s="1"/>
  <c r="B285" i="20"/>
  <c r="B1029" i="20" s="1"/>
  <c r="B257" i="20"/>
  <c r="B1001" i="20" s="1"/>
  <c r="B250" i="20"/>
  <c r="B958" i="20" s="1"/>
  <c r="B243" i="20"/>
  <c r="B931" i="20" s="1"/>
  <c r="B236" i="20"/>
  <c r="B887" i="20" s="1"/>
  <c r="B229" i="20"/>
  <c r="B843" i="20" s="1"/>
  <c r="B222" i="20"/>
  <c r="B818" i="20" s="1"/>
  <c r="B195" i="20"/>
  <c r="B776" i="20" s="1"/>
  <c r="B188" i="20"/>
  <c r="B745" i="20" s="1"/>
  <c r="B181" i="20"/>
  <c r="B695" i="20" s="1"/>
  <c r="B154" i="20"/>
  <c r="B644" i="20" s="1"/>
  <c r="B147" i="20"/>
  <c r="B611" i="20" s="1"/>
  <c r="B140" i="20"/>
  <c r="B589" i="20" s="1"/>
  <c r="B133" i="20"/>
  <c r="B556" i="20" s="1"/>
  <c r="B126" i="20"/>
  <c r="B539" i="20" s="1"/>
  <c r="B99" i="20"/>
  <c r="B522" i="20" s="1"/>
  <c r="B92" i="20"/>
  <c r="B488" i="20" s="1"/>
  <c r="B85" i="20"/>
  <c r="B471" i="20" s="1"/>
  <c r="B78" i="20"/>
  <c r="B454" i="20" s="1"/>
  <c r="B71" i="20"/>
  <c r="B419" i="20" s="1"/>
  <c r="B64" i="20"/>
  <c r="B393" i="20" s="1"/>
  <c r="B358" i="8"/>
  <c r="B1232" i="8" s="1"/>
  <c r="B351" i="8"/>
  <c r="B1206" i="8" s="1"/>
  <c r="B324" i="8"/>
  <c r="B1166" i="8" s="1"/>
  <c r="B317" i="8"/>
  <c r="B1148" i="8" s="1"/>
  <c r="B310" i="8"/>
  <c r="B1114" i="8" s="1"/>
  <c r="B303" i="8"/>
  <c r="B296" i="8"/>
  <c r="B289" i="8"/>
  <c r="B1032" i="8" s="1"/>
  <c r="B262" i="8"/>
  <c r="B1004" i="8" s="1"/>
  <c r="B255" i="8"/>
  <c r="B961" i="8" s="1"/>
  <c r="B248" i="8"/>
  <c r="B934" i="8" s="1"/>
  <c r="B241" i="8"/>
  <c r="B889" i="8" s="1"/>
  <c r="B234" i="8"/>
  <c r="B844" i="8" s="1"/>
  <c r="B227" i="8"/>
  <c r="B819" i="8" s="1"/>
  <c r="B199" i="8"/>
  <c r="B779" i="8" s="1"/>
  <c r="B192" i="8"/>
  <c r="B748" i="8" s="1"/>
  <c r="B697" i="8"/>
  <c r="B157" i="8"/>
  <c r="B647" i="8" s="1"/>
  <c r="B150" i="8"/>
  <c r="B614" i="8" s="1"/>
  <c r="B143" i="8"/>
  <c r="B591" i="8" s="1"/>
  <c r="B136" i="8"/>
  <c r="B558" i="8" s="1"/>
  <c r="B129" i="8"/>
  <c r="B541" i="8" s="1"/>
  <c r="B100" i="8"/>
  <c r="B524" i="8" s="1"/>
  <c r="B93" i="8"/>
  <c r="B490" i="8" s="1"/>
  <c r="B86" i="8"/>
  <c r="B473" i="8" s="1"/>
  <c r="B79" i="8"/>
  <c r="B456" i="8" s="1"/>
  <c r="B72" i="8"/>
  <c r="B422" i="8" s="1"/>
  <c r="B65" i="8"/>
  <c r="B396" i="8" s="1"/>
  <c r="B37" i="14"/>
  <c r="C25" i="19" s="1"/>
  <c r="B38" i="14"/>
  <c r="C241" i="8" s="1"/>
  <c r="C889" i="8" s="1"/>
  <c r="B39" i="14"/>
  <c r="C243" i="20" s="1"/>
  <c r="C931" i="20" s="1"/>
  <c r="B40" i="14"/>
  <c r="C28" i="19" s="1"/>
  <c r="B41" i="14"/>
  <c r="C29" i="19" s="1"/>
  <c r="B42" i="14"/>
  <c r="C285" i="20" s="1"/>
  <c r="C1029" i="20" s="1"/>
  <c r="B43" i="14"/>
  <c r="C31" i="19" s="1"/>
  <c r="B44" i="14"/>
  <c r="C32" i="19" s="1"/>
  <c r="B45" i="14"/>
  <c r="C306" i="20" s="1"/>
  <c r="C1110" i="20" s="1"/>
  <c r="B46" i="14"/>
  <c r="C34" i="19" s="1"/>
  <c r="B47" i="14"/>
  <c r="C35" i="19" s="1"/>
  <c r="B48" i="14"/>
  <c r="C36" i="19" s="1"/>
  <c r="B49" i="14"/>
  <c r="C358" i="8" s="1"/>
  <c r="C1232" i="8" s="1"/>
  <c r="B36" i="14"/>
  <c r="C24" i="19" s="1"/>
  <c r="B20" i="14"/>
  <c r="C18" i="19" s="1"/>
  <c r="B21" i="14"/>
  <c r="C78" i="20" s="1"/>
  <c r="C454" i="20" s="1"/>
  <c r="B22" i="14"/>
  <c r="C86" i="8" s="1"/>
  <c r="C473" i="8" s="1"/>
  <c r="B23" i="14"/>
  <c r="C92" i="20" s="1"/>
  <c r="C488" i="20" s="1"/>
  <c r="B24" i="14"/>
  <c r="C99" i="20" s="1"/>
  <c r="C522" i="20" s="1"/>
  <c r="B25" i="14"/>
  <c r="C126" i="20" s="1"/>
  <c r="C539" i="20" s="1"/>
  <c r="B26" i="14"/>
  <c r="C133" i="20" s="1"/>
  <c r="C556" i="20" s="1"/>
  <c r="B27" i="14"/>
  <c r="C140" i="20" s="1"/>
  <c r="C589" i="20" s="1"/>
  <c r="B28" i="14"/>
  <c r="C150" i="8" s="1"/>
  <c r="C614" i="8" s="1"/>
  <c r="B29" i="14"/>
  <c r="C20" i="19" s="1"/>
  <c r="B30" i="14"/>
  <c r="C21" i="19" s="1"/>
  <c r="B31" i="14"/>
  <c r="C192" i="8" s="1"/>
  <c r="C748" i="8" s="1"/>
  <c r="B32" i="14"/>
  <c r="C23" i="19" s="1"/>
  <c r="B19" i="14"/>
  <c r="C65" i="8" s="1"/>
  <c r="C396" i="8" s="1"/>
  <c r="A66" i="22"/>
  <c r="A67" i="22"/>
  <c r="A68" i="22" s="1"/>
  <c r="A69" i="22" s="1"/>
  <c r="A70" i="22" s="1"/>
  <c r="A72" i="22" s="1"/>
  <c r="A73" i="22" s="1"/>
  <c r="A75" i="22" s="1"/>
  <c r="A76" i="22" s="1"/>
  <c r="A78" i="22" s="1"/>
  <c r="A81" i="22" s="1"/>
  <c r="A83" i="22" s="1"/>
  <c r="A84" i="22" s="1"/>
  <c r="A85" i="22" s="1"/>
  <c r="A86" i="22" s="1"/>
  <c r="A87" i="22" s="1"/>
  <c r="A89" i="22" s="1"/>
  <c r="A91" i="22" s="1"/>
  <c r="M62" i="22"/>
  <c r="L62" i="22"/>
  <c r="K62" i="22"/>
  <c r="J62" i="22"/>
  <c r="I62" i="22"/>
  <c r="H62" i="22"/>
  <c r="G62" i="22"/>
  <c r="F62" i="22"/>
  <c r="E62" i="22"/>
  <c r="D62" i="22"/>
  <c r="C62" i="22"/>
  <c r="E96" i="20"/>
  <c r="F96" i="20"/>
  <c r="G96" i="20"/>
  <c r="H96" i="20"/>
  <c r="I96" i="20"/>
  <c r="J96" i="20"/>
  <c r="K96" i="20"/>
  <c r="L96" i="20"/>
  <c r="M96" i="20"/>
  <c r="N96" i="20"/>
  <c r="O96" i="20"/>
  <c r="E97" i="8"/>
  <c r="F97" i="8"/>
  <c r="G97" i="8"/>
  <c r="H97" i="8"/>
  <c r="I97" i="8"/>
  <c r="J97" i="8"/>
  <c r="K97" i="8"/>
  <c r="L97" i="8"/>
  <c r="M97" i="8"/>
  <c r="N97" i="8"/>
  <c r="O97" i="8"/>
  <c r="E366" i="20"/>
  <c r="E30" i="20" s="1"/>
  <c r="F366" i="20"/>
  <c r="F30" i="20" s="1"/>
  <c r="G366" i="20"/>
  <c r="G30" i="20" s="1"/>
  <c r="H366" i="20"/>
  <c r="H30" i="20" s="1"/>
  <c r="I366" i="20"/>
  <c r="I30" i="20" s="1"/>
  <c r="J366" i="20"/>
  <c r="J30" i="20" s="1"/>
  <c r="K366" i="20"/>
  <c r="K30" i="20" s="1"/>
  <c r="L366" i="20"/>
  <c r="L30" i="20" s="1"/>
  <c r="M366" i="20"/>
  <c r="M30" i="20" s="1"/>
  <c r="N366" i="20"/>
  <c r="N30" i="20" s="1"/>
  <c r="O366" i="20"/>
  <c r="O30" i="20" s="1"/>
  <c r="E367" i="20"/>
  <c r="E31" i="20" s="1"/>
  <c r="F367" i="20"/>
  <c r="F31" i="20" s="1"/>
  <c r="G367" i="20"/>
  <c r="G31" i="20" s="1"/>
  <c r="H367" i="20"/>
  <c r="H31" i="20" s="1"/>
  <c r="I367" i="20"/>
  <c r="I31" i="20" s="1"/>
  <c r="J367" i="20"/>
  <c r="J31" i="20" s="1"/>
  <c r="K367" i="20"/>
  <c r="K31" i="20" s="1"/>
  <c r="L367" i="20"/>
  <c r="L31" i="20" s="1"/>
  <c r="M367" i="20"/>
  <c r="M31" i="20" s="1"/>
  <c r="N367" i="20"/>
  <c r="N31" i="20" s="1"/>
  <c r="O367" i="20"/>
  <c r="O31" i="20" s="1"/>
  <c r="E368" i="20"/>
  <c r="F368" i="20"/>
  <c r="F32" i="20" s="1"/>
  <c r="G368" i="20"/>
  <c r="G32" i="20" s="1"/>
  <c r="H368" i="20"/>
  <c r="H32" i="20" s="1"/>
  <c r="I368" i="20"/>
  <c r="I32" i="20" s="1"/>
  <c r="J368" i="20"/>
  <c r="J32" i="20" s="1"/>
  <c r="K368" i="20"/>
  <c r="K32" i="20" s="1"/>
  <c r="L368" i="20"/>
  <c r="L32" i="20" s="1"/>
  <c r="M368" i="20"/>
  <c r="M32" i="20" s="1"/>
  <c r="N368" i="20"/>
  <c r="N32" i="20" s="1"/>
  <c r="O368" i="20"/>
  <c r="O32" i="20" s="1"/>
  <c r="E369" i="20"/>
  <c r="E33" i="20" s="1"/>
  <c r="F369" i="20"/>
  <c r="F33" i="20" s="1"/>
  <c r="G369" i="20"/>
  <c r="G33" i="20" s="1"/>
  <c r="H369" i="20"/>
  <c r="H33" i="20" s="1"/>
  <c r="I369" i="20"/>
  <c r="I33" i="20" s="1"/>
  <c r="J369" i="20"/>
  <c r="J33" i="20" s="1"/>
  <c r="K369" i="20"/>
  <c r="K33" i="20" s="1"/>
  <c r="L369" i="20"/>
  <c r="L33" i="20" s="1"/>
  <c r="M369" i="20"/>
  <c r="M33" i="20" s="1"/>
  <c r="N369" i="20"/>
  <c r="N33" i="20" s="1"/>
  <c r="O369" i="20"/>
  <c r="O33" i="20" s="1"/>
  <c r="A16" i="23"/>
  <c r="A17" i="23" s="1"/>
  <c r="A18" i="23" s="1"/>
  <c r="A20" i="23" s="1"/>
  <c r="A22" i="23" s="1"/>
  <c r="A23" i="23" s="1"/>
  <c r="A24" i="23" s="1"/>
  <c r="A26" i="23" s="1"/>
  <c r="A28" i="23" s="1"/>
  <c r="A29" i="23" s="1"/>
  <c r="A30" i="23" s="1"/>
  <c r="A32" i="23" s="1"/>
  <c r="A34" i="23" s="1"/>
  <c r="A35" i="23" s="1"/>
  <c r="A36" i="23" s="1"/>
  <c r="A38" i="23" s="1"/>
  <c r="A40" i="23" s="1"/>
  <c r="A41" i="23" s="1"/>
  <c r="A42" i="23" s="1"/>
  <c r="A44" i="23" s="1"/>
  <c r="A46" i="23" s="1"/>
  <c r="A47" i="23" s="1"/>
  <c r="A48" i="23" s="1"/>
  <c r="A50" i="23" s="1"/>
  <c r="A52" i="23" s="1"/>
  <c r="A53" i="23" s="1"/>
  <c r="A54" i="23" s="1"/>
  <c r="A56" i="23" s="1"/>
  <c r="O31" i="8"/>
  <c r="N31" i="8"/>
  <c r="M31" i="8"/>
  <c r="L31" i="8"/>
  <c r="K31" i="8"/>
  <c r="J31" i="8"/>
  <c r="I31" i="8"/>
  <c r="H31" i="8"/>
  <c r="G31" i="8"/>
  <c r="F31" i="8"/>
  <c r="E31" i="8"/>
  <c r="M14" i="22"/>
  <c r="L14" i="22"/>
  <c r="K14" i="22"/>
  <c r="J14" i="22"/>
  <c r="I14" i="22"/>
  <c r="H14" i="22"/>
  <c r="G14" i="22"/>
  <c r="F14" i="22"/>
  <c r="E14" i="22"/>
  <c r="D14" i="22"/>
  <c r="C14" i="22"/>
  <c r="A18" i="22"/>
  <c r="A19" i="22" s="1"/>
  <c r="A20" i="22" s="1"/>
  <c r="A21" i="22"/>
  <c r="A22" i="22" s="1"/>
  <c r="A24" i="22" s="1"/>
  <c r="A25" i="22" s="1"/>
  <c r="A27" i="22" s="1"/>
  <c r="A28" i="22" s="1"/>
  <c r="A30" i="22" s="1"/>
  <c r="A33" i="22" s="1"/>
  <c r="A35" i="22" s="1"/>
  <c r="A36" i="22" s="1"/>
  <c r="A37" i="22" s="1"/>
  <c r="A38" i="22" s="1"/>
  <c r="A39" i="22" s="1"/>
  <c r="A41" i="22" s="1"/>
  <c r="A43" i="22" s="1"/>
  <c r="D317" i="3"/>
  <c r="D323" i="3" s="1"/>
  <c r="E317" i="3"/>
  <c r="E323" i="3" s="1"/>
  <c r="F1042" i="8" s="1"/>
  <c r="G317" i="3"/>
  <c r="G323" i="3" s="1"/>
  <c r="H1042" i="8" s="1"/>
  <c r="H317" i="3"/>
  <c r="H323" i="3" s="1"/>
  <c r="I1039" i="20" s="1"/>
  <c r="I317" i="3"/>
  <c r="I323" i="3" s="1"/>
  <c r="J1039" i="20" s="1"/>
  <c r="L317" i="3"/>
  <c r="L323" i="3" s="1"/>
  <c r="N317" i="3"/>
  <c r="N323" i="3" s="1"/>
  <c r="D318" i="3"/>
  <c r="G318" i="3"/>
  <c r="G324" i="3" s="1"/>
  <c r="H1040" i="20" s="1"/>
  <c r="H318" i="3"/>
  <c r="H324" i="3" s="1"/>
  <c r="I1040" i="20" s="1"/>
  <c r="I318" i="3"/>
  <c r="J318" i="3"/>
  <c r="J324" i="3" s="1"/>
  <c r="K1043" i="8" s="1"/>
  <c r="K318" i="3"/>
  <c r="K324" i="3" s="1"/>
  <c r="L1040" i="20" s="1"/>
  <c r="L318" i="3"/>
  <c r="L324" i="3" s="1"/>
  <c r="M318" i="3"/>
  <c r="M324" i="3" s="1"/>
  <c r="N318" i="3"/>
  <c r="N324" i="3" s="1"/>
  <c r="O1043" i="8" s="1"/>
  <c r="D319" i="3"/>
  <c r="D325" i="3" s="1"/>
  <c r="E319" i="3"/>
  <c r="E325" i="3" s="1"/>
  <c r="F1041" i="20" s="1"/>
  <c r="F319" i="3"/>
  <c r="F325" i="3" s="1"/>
  <c r="G1044" i="8" s="1"/>
  <c r="G319" i="3"/>
  <c r="G325" i="3" s="1"/>
  <c r="H1044" i="8" s="1"/>
  <c r="H319" i="3"/>
  <c r="H325" i="3" s="1"/>
  <c r="I1044" i="8" s="1"/>
  <c r="I319" i="3"/>
  <c r="I325" i="3" s="1"/>
  <c r="J1041" i="20" s="1"/>
  <c r="J319" i="3"/>
  <c r="J325" i="3" s="1"/>
  <c r="K1041" i="20" s="1"/>
  <c r="K319" i="3"/>
  <c r="K325" i="3" s="1"/>
  <c r="L319" i="3"/>
  <c r="L325" i="3" s="1"/>
  <c r="M1044" i="8" s="1"/>
  <c r="M319" i="3"/>
  <c r="M325" i="3" s="1"/>
  <c r="N1041" i="20" s="1"/>
  <c r="D320" i="3"/>
  <c r="D326" i="3" s="1"/>
  <c r="E320" i="3"/>
  <c r="E326" i="3" s="1"/>
  <c r="F1045" i="8" s="1"/>
  <c r="F320" i="3"/>
  <c r="F326" i="3" s="1"/>
  <c r="G1042" i="20" s="1"/>
  <c r="H320" i="3"/>
  <c r="H326" i="3" s="1"/>
  <c r="I1045" i="8" s="1"/>
  <c r="I320" i="3"/>
  <c r="I326" i="3" s="1"/>
  <c r="J1045" i="8" s="1"/>
  <c r="J320" i="3"/>
  <c r="J326" i="3" s="1"/>
  <c r="K1045" i="8" s="1"/>
  <c r="K320" i="3"/>
  <c r="K326" i="3" s="1"/>
  <c r="L1045" i="8" s="1"/>
  <c r="L320" i="3"/>
  <c r="L326" i="3" s="1"/>
  <c r="M1042" i="20" s="1"/>
  <c r="M320" i="3"/>
  <c r="M326" i="3" s="1"/>
  <c r="N320" i="3"/>
  <c r="N326" i="3" s="1"/>
  <c r="D388" i="3"/>
  <c r="E1216" i="8" s="1"/>
  <c r="E388" i="3"/>
  <c r="F1216" i="8" s="1"/>
  <c r="K388" i="3"/>
  <c r="L1213" i="20" s="1"/>
  <c r="D390" i="3"/>
  <c r="E1214" i="20" s="1"/>
  <c r="F390" i="3"/>
  <c r="G1218" i="8" s="1"/>
  <c r="G390" i="3"/>
  <c r="H390" i="3"/>
  <c r="I1218" i="8" s="1"/>
  <c r="I390" i="3"/>
  <c r="J1218" i="8" s="1"/>
  <c r="J390" i="3"/>
  <c r="K1218" i="8" s="1"/>
  <c r="L390" i="3"/>
  <c r="M1218" i="8" s="1"/>
  <c r="M390" i="3"/>
  <c r="F273" i="3"/>
  <c r="F84" i="3"/>
  <c r="D250" i="2"/>
  <c r="D252" i="2" s="1"/>
  <c r="E1210" i="8" s="1"/>
  <c r="E352" i="8" s="1"/>
  <c r="E250" i="2"/>
  <c r="E252" i="2" s="1"/>
  <c r="F1207" i="20" s="1"/>
  <c r="F250" i="2"/>
  <c r="F252" i="2" s="1"/>
  <c r="G250" i="2"/>
  <c r="G252" i="2" s="1"/>
  <c r="H1207" i="20" s="1"/>
  <c r="H250" i="2"/>
  <c r="H252" i="2" s="1"/>
  <c r="I250" i="2"/>
  <c r="I252" i="2" s="1"/>
  <c r="J1207" i="20" s="1"/>
  <c r="J250" i="2"/>
  <c r="J252" i="2" s="1"/>
  <c r="K250" i="2"/>
  <c r="K252" i="2" s="1"/>
  <c r="L1207" i="20" s="1"/>
  <c r="L250" i="2"/>
  <c r="L252" i="2" s="1"/>
  <c r="M1207" i="20" s="1"/>
  <c r="M348" i="20" s="1"/>
  <c r="M250" i="2"/>
  <c r="M252" i="2" s="1"/>
  <c r="N250" i="2"/>
  <c r="N252" i="2" s="1"/>
  <c r="O1207" i="20" s="1"/>
  <c r="O348" i="20" s="1"/>
  <c r="N195" i="3"/>
  <c r="O1200" i="20"/>
  <c r="N1200" i="20"/>
  <c r="M1200" i="20"/>
  <c r="L1200" i="20"/>
  <c r="K1200" i="20"/>
  <c r="J1200" i="20"/>
  <c r="I1200" i="20"/>
  <c r="H1200" i="20"/>
  <c r="G1200" i="20"/>
  <c r="F1200" i="20"/>
  <c r="E1200" i="20"/>
  <c r="O1141" i="20"/>
  <c r="N1141" i="20"/>
  <c r="M1141" i="20"/>
  <c r="L1141" i="20"/>
  <c r="K1141" i="20"/>
  <c r="J1141" i="20"/>
  <c r="I1141" i="20"/>
  <c r="H1141" i="20"/>
  <c r="G1141" i="20"/>
  <c r="F1141" i="20"/>
  <c r="E1141" i="20"/>
  <c r="O1071" i="20"/>
  <c r="N1071" i="20"/>
  <c r="M1071" i="20"/>
  <c r="L1071" i="20"/>
  <c r="K1071" i="20"/>
  <c r="J1071" i="20"/>
  <c r="I1071" i="20"/>
  <c r="H1071" i="20"/>
  <c r="G1071" i="20"/>
  <c r="F1071" i="20"/>
  <c r="E1071" i="20"/>
  <c r="O998" i="20"/>
  <c r="N998" i="20"/>
  <c r="M998" i="20"/>
  <c r="L998" i="20"/>
  <c r="K998" i="20"/>
  <c r="J998" i="20"/>
  <c r="I998" i="20"/>
  <c r="H998" i="20"/>
  <c r="G998" i="20"/>
  <c r="F998" i="20"/>
  <c r="E998" i="20"/>
  <c r="O928" i="20"/>
  <c r="N928" i="20"/>
  <c r="M928" i="20"/>
  <c r="L928" i="20"/>
  <c r="K928" i="20"/>
  <c r="J928" i="20"/>
  <c r="I928" i="20"/>
  <c r="H928" i="20"/>
  <c r="G928" i="20"/>
  <c r="F928" i="20"/>
  <c r="E928" i="20"/>
  <c r="O884" i="20"/>
  <c r="N884" i="20"/>
  <c r="M884" i="20"/>
  <c r="L884" i="20"/>
  <c r="K884" i="20"/>
  <c r="J884" i="20"/>
  <c r="I884" i="20"/>
  <c r="H884" i="20"/>
  <c r="G884" i="20"/>
  <c r="F884" i="20"/>
  <c r="E884" i="20"/>
  <c r="O815" i="20"/>
  <c r="N815" i="20"/>
  <c r="M815" i="20"/>
  <c r="L815" i="20"/>
  <c r="K815" i="20"/>
  <c r="J815" i="20"/>
  <c r="I815" i="20"/>
  <c r="H815" i="20"/>
  <c r="G815" i="20"/>
  <c r="F815" i="20"/>
  <c r="E815" i="20"/>
  <c r="O742" i="20"/>
  <c r="N742" i="20"/>
  <c r="M742" i="20"/>
  <c r="L742" i="20"/>
  <c r="K742" i="20"/>
  <c r="J742" i="20"/>
  <c r="I742" i="20"/>
  <c r="H742" i="20"/>
  <c r="G742" i="20"/>
  <c r="F742" i="20"/>
  <c r="E742" i="20"/>
  <c r="O692" i="20"/>
  <c r="N692" i="20"/>
  <c r="M692" i="20"/>
  <c r="L692" i="20"/>
  <c r="K692" i="20"/>
  <c r="J692" i="20"/>
  <c r="I692" i="20"/>
  <c r="H692" i="20"/>
  <c r="G692" i="20"/>
  <c r="F692" i="20"/>
  <c r="E692" i="20"/>
  <c r="O641" i="20"/>
  <c r="N641" i="20"/>
  <c r="M641" i="20"/>
  <c r="L641" i="20"/>
  <c r="K641" i="20"/>
  <c r="J641" i="20"/>
  <c r="I641" i="20"/>
  <c r="H641" i="20"/>
  <c r="G641" i="20"/>
  <c r="F641" i="20"/>
  <c r="E641" i="20"/>
  <c r="O586" i="20"/>
  <c r="N586" i="20"/>
  <c r="M586" i="20"/>
  <c r="L586" i="20"/>
  <c r="K586" i="20"/>
  <c r="J586" i="20"/>
  <c r="I586" i="20"/>
  <c r="H586" i="20"/>
  <c r="G586" i="20"/>
  <c r="F586" i="20"/>
  <c r="E586" i="20"/>
  <c r="O519" i="20"/>
  <c r="N519" i="20"/>
  <c r="M519" i="20"/>
  <c r="L519" i="20"/>
  <c r="K519" i="20"/>
  <c r="J519" i="20"/>
  <c r="I519" i="20"/>
  <c r="H519" i="20"/>
  <c r="G519" i="20"/>
  <c r="F519" i="20"/>
  <c r="E519" i="20"/>
  <c r="O450" i="20"/>
  <c r="N450" i="20"/>
  <c r="M450" i="20"/>
  <c r="L450" i="20"/>
  <c r="K450" i="20"/>
  <c r="J450" i="20"/>
  <c r="I450" i="20"/>
  <c r="H450" i="20"/>
  <c r="G450" i="20"/>
  <c r="F450" i="20"/>
  <c r="E450" i="20"/>
  <c r="O389" i="20"/>
  <c r="N389" i="20"/>
  <c r="M389" i="20"/>
  <c r="L389" i="20"/>
  <c r="K389" i="20"/>
  <c r="J389" i="20"/>
  <c r="I389" i="20"/>
  <c r="H389" i="20"/>
  <c r="G389" i="20"/>
  <c r="F389" i="20"/>
  <c r="E389" i="20"/>
  <c r="O13" i="20"/>
  <c r="N13" i="20"/>
  <c r="M13" i="20"/>
  <c r="L13" i="20"/>
  <c r="K13" i="20"/>
  <c r="J13" i="20"/>
  <c r="I13" i="20"/>
  <c r="H13" i="20"/>
  <c r="G13" i="20"/>
  <c r="F13" i="20"/>
  <c r="E13" i="20"/>
  <c r="O342" i="20"/>
  <c r="N342" i="20"/>
  <c r="M342" i="20"/>
  <c r="L342" i="20"/>
  <c r="K342" i="20"/>
  <c r="J342" i="20"/>
  <c r="I342" i="20"/>
  <c r="H342" i="20"/>
  <c r="G342" i="20"/>
  <c r="F342" i="20"/>
  <c r="E342" i="20"/>
  <c r="O279" i="20"/>
  <c r="N279" i="20"/>
  <c r="M279" i="20"/>
  <c r="L279" i="20"/>
  <c r="K279" i="20"/>
  <c r="J279" i="20"/>
  <c r="I279" i="20"/>
  <c r="H279" i="20"/>
  <c r="G279" i="20"/>
  <c r="F279" i="20"/>
  <c r="E279" i="20"/>
  <c r="O217" i="20"/>
  <c r="N217" i="20"/>
  <c r="M217" i="20"/>
  <c r="L217" i="20"/>
  <c r="K217" i="20"/>
  <c r="J217" i="20"/>
  <c r="I217" i="20"/>
  <c r="H217" i="20"/>
  <c r="G217" i="20"/>
  <c r="F217" i="20"/>
  <c r="E217" i="20"/>
  <c r="O176" i="20"/>
  <c r="N176" i="20"/>
  <c r="M176" i="20"/>
  <c r="L176" i="20"/>
  <c r="K176" i="20"/>
  <c r="J176" i="20"/>
  <c r="I176" i="20"/>
  <c r="H176" i="20"/>
  <c r="G176" i="20"/>
  <c r="F176" i="20"/>
  <c r="E176" i="20"/>
  <c r="O121" i="20"/>
  <c r="N121" i="20"/>
  <c r="M121" i="20"/>
  <c r="L121" i="20"/>
  <c r="K121" i="20"/>
  <c r="J121" i="20"/>
  <c r="I121" i="20"/>
  <c r="H121" i="20"/>
  <c r="G121" i="20"/>
  <c r="F121" i="20"/>
  <c r="E121" i="20"/>
  <c r="O59" i="20"/>
  <c r="N59" i="20"/>
  <c r="M59" i="20"/>
  <c r="L59" i="20"/>
  <c r="K59" i="20"/>
  <c r="J59" i="20"/>
  <c r="I59" i="20"/>
  <c r="H59" i="20"/>
  <c r="G59" i="20"/>
  <c r="F59" i="20"/>
  <c r="E59" i="20"/>
  <c r="O60" i="8"/>
  <c r="N60" i="8"/>
  <c r="M60" i="8"/>
  <c r="L60" i="8"/>
  <c r="K60" i="8"/>
  <c r="J60" i="8"/>
  <c r="I60" i="8"/>
  <c r="H60" i="8"/>
  <c r="G60" i="8"/>
  <c r="F60" i="8"/>
  <c r="E60" i="8"/>
  <c r="P9" i="15"/>
  <c r="O9" i="15"/>
  <c r="N9" i="15"/>
  <c r="M9" i="15"/>
  <c r="L9" i="15"/>
  <c r="K9" i="15"/>
  <c r="J9" i="15"/>
  <c r="I9" i="15"/>
  <c r="H9" i="15"/>
  <c r="G9" i="15"/>
  <c r="F9" i="15"/>
  <c r="N11" i="5"/>
  <c r="M11" i="5"/>
  <c r="L11" i="5"/>
  <c r="K11" i="5"/>
  <c r="J11" i="5"/>
  <c r="I11" i="5"/>
  <c r="H11" i="5"/>
  <c r="G11" i="5"/>
  <c r="F11" i="5"/>
  <c r="E11" i="5"/>
  <c r="D11" i="5"/>
  <c r="N11" i="3"/>
  <c r="M11" i="3"/>
  <c r="L11" i="3"/>
  <c r="K11" i="3"/>
  <c r="J11" i="3"/>
  <c r="I11" i="3"/>
  <c r="H11" i="3"/>
  <c r="G11" i="3"/>
  <c r="F11" i="3"/>
  <c r="E11" i="3"/>
  <c r="D11" i="3"/>
  <c r="D297" i="3"/>
  <c r="D303" i="3" s="1"/>
  <c r="E1014" i="8" s="1"/>
  <c r="E297" i="3"/>
  <c r="E303" i="3" s="1"/>
  <c r="F297" i="3"/>
  <c r="F303" i="3" s="1"/>
  <c r="G1011" i="20" s="1"/>
  <c r="G297" i="3"/>
  <c r="H297" i="3"/>
  <c r="H303" i="3" s="1"/>
  <c r="I1014" i="8" s="1"/>
  <c r="I297" i="3"/>
  <c r="I303" i="3" s="1"/>
  <c r="L297" i="3"/>
  <c r="L303" i="3" s="1"/>
  <c r="M1011" i="20" s="1"/>
  <c r="M297" i="3"/>
  <c r="M303" i="3" s="1"/>
  <c r="N1011" i="20" s="1"/>
  <c r="E298" i="3"/>
  <c r="E304" i="3" s="1"/>
  <c r="F1012" i="20" s="1"/>
  <c r="F298" i="3"/>
  <c r="F304" i="3" s="1"/>
  <c r="G1012" i="20" s="1"/>
  <c r="G298" i="3"/>
  <c r="G304" i="3" s="1"/>
  <c r="H1015" i="8" s="1"/>
  <c r="H298" i="3"/>
  <c r="H304" i="3" s="1"/>
  <c r="I1015" i="8" s="1"/>
  <c r="I298" i="3"/>
  <c r="I304" i="3" s="1"/>
  <c r="J1015" i="8" s="1"/>
  <c r="J298" i="3"/>
  <c r="J304" i="3" s="1"/>
  <c r="K298" i="3"/>
  <c r="K304" i="3" s="1"/>
  <c r="L1015" i="8" s="1"/>
  <c r="L298" i="3"/>
  <c r="L304" i="3" s="1"/>
  <c r="M1015" i="8" s="1"/>
  <c r="M298" i="3"/>
  <c r="M304" i="3" s="1"/>
  <c r="N1015" i="8" s="1"/>
  <c r="N298" i="3"/>
  <c r="N304" i="3" s="1"/>
  <c r="E299" i="3"/>
  <c r="E305" i="3" s="1"/>
  <c r="F1013" i="20" s="1"/>
  <c r="F299" i="3"/>
  <c r="F305" i="3" s="1"/>
  <c r="G1013" i="20" s="1"/>
  <c r="G299" i="3"/>
  <c r="G305" i="3" s="1"/>
  <c r="H1016" i="8" s="1"/>
  <c r="I299" i="3"/>
  <c r="I305" i="3" s="1"/>
  <c r="J1013" i="20" s="1"/>
  <c r="J299" i="3"/>
  <c r="J305" i="3" s="1"/>
  <c r="K1013" i="20" s="1"/>
  <c r="K299" i="3"/>
  <c r="K305" i="3" s="1"/>
  <c r="L1013" i="20" s="1"/>
  <c r="L299" i="3"/>
  <c r="M299" i="3"/>
  <c r="M305" i="3" s="1"/>
  <c r="N1016" i="8" s="1"/>
  <c r="N299" i="3"/>
  <c r="N305" i="3" s="1"/>
  <c r="O1016" i="8" s="1"/>
  <c r="D300" i="3"/>
  <c r="D306" i="3" s="1"/>
  <c r="F300" i="3"/>
  <c r="F306" i="3" s="1"/>
  <c r="G1017" i="8" s="1"/>
  <c r="G300" i="3"/>
  <c r="G306" i="3" s="1"/>
  <c r="H1017" i="8" s="1"/>
  <c r="H300" i="3"/>
  <c r="H306" i="3" s="1"/>
  <c r="I1014" i="20" s="1"/>
  <c r="I300" i="3"/>
  <c r="I306" i="3" s="1"/>
  <c r="J1017" i="8" s="1"/>
  <c r="J300" i="3"/>
  <c r="J306" i="3" s="1"/>
  <c r="K1014" i="20" s="1"/>
  <c r="K300" i="3"/>
  <c r="K306" i="3" s="1"/>
  <c r="L1014" i="20" s="1"/>
  <c r="L300" i="3"/>
  <c r="L306" i="3" s="1"/>
  <c r="M1014" i="20" s="1"/>
  <c r="M300" i="3"/>
  <c r="M306" i="3" s="1"/>
  <c r="N1017" i="8" s="1"/>
  <c r="N300" i="3"/>
  <c r="N306" i="3" s="1"/>
  <c r="D119" i="3"/>
  <c r="F119" i="3"/>
  <c r="G119" i="3"/>
  <c r="J119" i="3"/>
  <c r="K119" i="3"/>
  <c r="M119" i="3"/>
  <c r="M125" i="3" s="1"/>
  <c r="N706" i="8" s="1"/>
  <c r="N119" i="3"/>
  <c r="E120" i="3"/>
  <c r="F120" i="3"/>
  <c r="G120" i="3"/>
  <c r="H120" i="3"/>
  <c r="I120" i="3"/>
  <c r="J120" i="3"/>
  <c r="K120" i="3"/>
  <c r="L120" i="3"/>
  <c r="M120" i="3"/>
  <c r="M126" i="3" s="1"/>
  <c r="N707" i="8" s="1"/>
  <c r="E121" i="3"/>
  <c r="F121" i="3"/>
  <c r="G121" i="3"/>
  <c r="H121" i="3"/>
  <c r="I121" i="3"/>
  <c r="J121" i="3"/>
  <c r="K121" i="3"/>
  <c r="L121" i="3"/>
  <c r="M121" i="3"/>
  <c r="M127" i="3" s="1"/>
  <c r="N708" i="8" s="1"/>
  <c r="N121" i="3"/>
  <c r="D122" i="3"/>
  <c r="E122" i="3"/>
  <c r="F122" i="3"/>
  <c r="G122" i="3"/>
  <c r="H122" i="3"/>
  <c r="I122" i="3"/>
  <c r="J122" i="3"/>
  <c r="K122" i="3"/>
  <c r="L122" i="3"/>
  <c r="L128" i="3" s="1"/>
  <c r="M122" i="3"/>
  <c r="M128" i="3" s="1"/>
  <c r="N122" i="3"/>
  <c r="N128" i="3" s="1"/>
  <c r="O709" i="8" s="1"/>
  <c r="L22" i="5"/>
  <c r="L24" i="5" s="1"/>
  <c r="K22" i="5"/>
  <c r="K24" i="5" s="1"/>
  <c r="D287" i="2"/>
  <c r="E287" i="2"/>
  <c r="F287" i="2"/>
  <c r="G287" i="2"/>
  <c r="H287" i="2"/>
  <c r="I287" i="2"/>
  <c r="J287" i="2"/>
  <c r="K287" i="2"/>
  <c r="L287" i="2"/>
  <c r="M287" i="2"/>
  <c r="N287" i="2"/>
  <c r="D289" i="2"/>
  <c r="E289" i="2"/>
  <c r="F289" i="2"/>
  <c r="G289" i="2"/>
  <c r="H289" i="2"/>
  <c r="I289" i="2"/>
  <c r="J289" i="2"/>
  <c r="K289" i="2"/>
  <c r="L289" i="2"/>
  <c r="M289" i="2"/>
  <c r="N289" i="2"/>
  <c r="A333" i="20"/>
  <c r="A331" i="20"/>
  <c r="A330" i="20"/>
  <c r="A329" i="20"/>
  <c r="A328" i="20"/>
  <c r="A266" i="20"/>
  <c r="A265" i="20"/>
  <c r="A204" i="20"/>
  <c r="A203" i="20"/>
  <c r="A167" i="20"/>
  <c r="A165" i="20"/>
  <c r="A164" i="20"/>
  <c r="A163" i="20"/>
  <c r="A162" i="20"/>
  <c r="A380" i="8"/>
  <c r="A379" i="8"/>
  <c r="A271" i="8"/>
  <c r="A270" i="8"/>
  <c r="A872" i="8" s="1"/>
  <c r="A208" i="8"/>
  <c r="A207" i="8"/>
  <c r="A4" i="8"/>
  <c r="A2" i="8"/>
  <c r="A1" i="8"/>
  <c r="A145" i="3"/>
  <c r="A143" i="3"/>
  <c r="D837" i="20"/>
  <c r="D1153" i="20"/>
  <c r="D774" i="8"/>
  <c r="D530" i="20"/>
  <c r="D547" i="20"/>
  <c r="D601" i="20"/>
  <c r="D1168" i="20"/>
  <c r="D1242" i="20"/>
  <c r="D938" i="20"/>
  <c r="D616" i="20"/>
  <c r="D1176" i="20"/>
  <c r="D1234" i="20"/>
  <c r="D1210" i="20"/>
  <c r="D1150" i="20"/>
  <c r="D1115" i="20"/>
  <c r="D1098" i="20"/>
  <c r="D1036" i="20"/>
  <c r="D1008" i="20"/>
  <c r="D965" i="20"/>
  <c r="D893" i="20"/>
  <c r="D849" i="20"/>
  <c r="D824" i="20"/>
  <c r="D782" i="20"/>
  <c r="D751" i="20"/>
  <c r="D701" i="20"/>
  <c r="D650" i="20"/>
  <c r="D479" i="20"/>
  <c r="D476" i="20"/>
  <c r="D427" i="20"/>
  <c r="D399" i="20"/>
  <c r="D411" i="20"/>
  <c r="C1238" i="20"/>
  <c r="C1242" i="20" s="1"/>
  <c r="C1237" i="20"/>
  <c r="C1241" i="20" s="1"/>
  <c r="C1214" i="20"/>
  <c r="C1218" i="20" s="1"/>
  <c r="C1213" i="20"/>
  <c r="C1217" i="20" s="1"/>
  <c r="A1205" i="20"/>
  <c r="A1207" i="20" s="1"/>
  <c r="A1208" i="20" s="1"/>
  <c r="A1209" i="20" s="1"/>
  <c r="A1210" i="20" s="1"/>
  <c r="A1212" i="20" s="1"/>
  <c r="A1213" i="20" s="1"/>
  <c r="A1214" i="20" s="1"/>
  <c r="A1216" i="20" s="1"/>
  <c r="A1217" i="20" s="1"/>
  <c r="A1218" i="20" s="1"/>
  <c r="A1221" i="20" s="1"/>
  <c r="A1223" i="20" s="1"/>
  <c r="A1225" i="20" s="1"/>
  <c r="A1228" i="20" s="1"/>
  <c r="A1230" i="20" s="1"/>
  <c r="A1232" i="20" s="1"/>
  <c r="A1233" i="20" s="1"/>
  <c r="A1234" i="20" s="1"/>
  <c r="A1236" i="20" s="1"/>
  <c r="A1237" i="20" s="1"/>
  <c r="A1238" i="20" s="1"/>
  <c r="A1240" i="20" s="1"/>
  <c r="A1241" i="20" s="1"/>
  <c r="A1242" i="20" s="1"/>
  <c r="A1245" i="20" s="1"/>
  <c r="A1247" i="20" s="1"/>
  <c r="A1249" i="20" s="1"/>
  <c r="A1190" i="20"/>
  <c r="A1188" i="20"/>
  <c r="A1187" i="20"/>
  <c r="C1172" i="20"/>
  <c r="C1176" i="20" s="1"/>
  <c r="C1171" i="20"/>
  <c r="C1175" i="20" s="1"/>
  <c r="O1152" i="20"/>
  <c r="N1152" i="20"/>
  <c r="M1152" i="20"/>
  <c r="L1152" i="20"/>
  <c r="K1152" i="20"/>
  <c r="J1152" i="20"/>
  <c r="I1152" i="20"/>
  <c r="H1152" i="20"/>
  <c r="G1152" i="20"/>
  <c r="F1152" i="20"/>
  <c r="E1152" i="20"/>
  <c r="A1146" i="20"/>
  <c r="A1148" i="20" s="1"/>
  <c r="A1149" i="20" s="1"/>
  <c r="A1150" i="20" s="1"/>
  <c r="A1152" i="20" s="1"/>
  <c r="A1153" i="20" s="1"/>
  <c r="A1155" i="20" s="1"/>
  <c r="A1157" i="20" s="1"/>
  <c r="A1159" i="20" s="1"/>
  <c r="A1162" i="20" s="1"/>
  <c r="A1164" i="20" s="1"/>
  <c r="A1166" i="20" s="1"/>
  <c r="A1167" i="20" s="1"/>
  <c r="A1168" i="20" s="1"/>
  <c r="A1170" i="20" s="1"/>
  <c r="A1171" i="20" s="1"/>
  <c r="A1172" i="20" s="1"/>
  <c r="A1174" i="20" s="1"/>
  <c r="A1175" i="20" s="1"/>
  <c r="A1176" i="20" s="1"/>
  <c r="A1179" i="20" s="1"/>
  <c r="A1181" i="20" s="1"/>
  <c r="A1183" i="20" s="1"/>
  <c r="A1132" i="20"/>
  <c r="A1130" i="20"/>
  <c r="A1129" i="20"/>
  <c r="A1076" i="20"/>
  <c r="A1078" i="20" s="1"/>
  <c r="A1079" i="20" s="1"/>
  <c r="A1080" i="20" s="1"/>
  <c r="A1082" i="20" s="1"/>
  <c r="A1083" i="20" s="1"/>
  <c r="A1085" i="20" s="1"/>
  <c r="A1087" i="20" s="1"/>
  <c r="A1089" i="20" s="1"/>
  <c r="A1092" i="20" s="1"/>
  <c r="A1094" i="20" s="1"/>
  <c r="A1096" i="20" s="1"/>
  <c r="A1097" i="20" s="1"/>
  <c r="A1098" i="20" s="1"/>
  <c r="A1100" i="20" s="1"/>
  <c r="A1101" i="20" s="1"/>
  <c r="A1103" i="20" s="1"/>
  <c r="A1105" i="20" s="1"/>
  <c r="A1107" i="20" s="1"/>
  <c r="A1110" i="20" s="1"/>
  <c r="A1112" i="20" s="1"/>
  <c r="A1114" i="20" s="1"/>
  <c r="A1115" i="20" s="1"/>
  <c r="A1116" i="20" s="1"/>
  <c r="A1118" i="20" s="1"/>
  <c r="A1119" i="20" s="1"/>
  <c r="A1121" i="20" s="1"/>
  <c r="A1123" i="20" s="1"/>
  <c r="A1125" i="20" s="1"/>
  <c r="A1062" i="20"/>
  <c r="A1060" i="20"/>
  <c r="A1059" i="20"/>
  <c r="C1042" i="20"/>
  <c r="C1048" i="20" s="1"/>
  <c r="C1041" i="20"/>
  <c r="C1047" i="20" s="1"/>
  <c r="C1040" i="20"/>
  <c r="C1046" i="20" s="1"/>
  <c r="C1039" i="20"/>
  <c r="C1045" i="20" s="1"/>
  <c r="C1014" i="20"/>
  <c r="C1020" i="20" s="1"/>
  <c r="C1013" i="20"/>
  <c r="C1019" i="20" s="1"/>
  <c r="C1012" i="20"/>
  <c r="C1018" i="20" s="1"/>
  <c r="C1011" i="20"/>
  <c r="C1017" i="20" s="1"/>
  <c r="A1003" i="20"/>
  <c r="A1005" i="20" s="1"/>
  <c r="A1006" i="20" s="1"/>
  <c r="A1007" i="20" s="1"/>
  <c r="A1008" i="20" s="1"/>
  <c r="A1010" i="20" s="1"/>
  <c r="A1011" i="20" s="1"/>
  <c r="A1012" i="20" s="1"/>
  <c r="A1013" i="20" s="1"/>
  <c r="A1014" i="20" s="1"/>
  <c r="A1016" i="20" s="1"/>
  <c r="A1017" i="20" s="1"/>
  <c r="A1018" i="20" s="1"/>
  <c r="A1019" i="20" s="1"/>
  <c r="A1020" i="20" s="1"/>
  <c r="A1023" i="20" s="1"/>
  <c r="A1025" i="20" s="1"/>
  <c r="A1027" i="20" s="1"/>
  <c r="A1029" i="20" s="1"/>
  <c r="A1031" i="20" s="1"/>
  <c r="A1033" i="20" s="1"/>
  <c r="A1034" i="20" s="1"/>
  <c r="A1035" i="20" s="1"/>
  <c r="A1036" i="20" s="1"/>
  <c r="A1038" i="20" s="1"/>
  <c r="A1039" i="20" s="1"/>
  <c r="A1040" i="20" s="1"/>
  <c r="A1041" i="20" s="1"/>
  <c r="A1042" i="20" s="1"/>
  <c r="A1044" i="20" s="1"/>
  <c r="A1045" i="20" s="1"/>
  <c r="A1046" i="20" s="1"/>
  <c r="A1047" i="20" s="1"/>
  <c r="A1048" i="20" s="1"/>
  <c r="A1051" i="20" s="1"/>
  <c r="A1053" i="20" s="1"/>
  <c r="A1055" i="20" s="1"/>
  <c r="A989" i="20"/>
  <c r="A987" i="20"/>
  <c r="A986" i="20"/>
  <c r="C970" i="20"/>
  <c r="C975" i="20" s="1"/>
  <c r="C968" i="20"/>
  <c r="C973" i="20" s="1"/>
  <c r="C943" i="20"/>
  <c r="C948" i="20" s="1"/>
  <c r="C941" i="20"/>
  <c r="C946" i="20" s="1"/>
  <c r="A933" i="20"/>
  <c r="A935" i="20" s="1"/>
  <c r="A936" i="20" s="1"/>
  <c r="A937" i="20" s="1"/>
  <c r="A938" i="20" s="1"/>
  <c r="A940" i="20" s="1"/>
  <c r="A941" i="20" s="1"/>
  <c r="A945" i="20" s="1"/>
  <c r="A946" i="20" s="1"/>
  <c r="A951" i="20" s="1"/>
  <c r="A953" i="20" s="1"/>
  <c r="A955" i="20" s="1"/>
  <c r="A958" i="20" s="1"/>
  <c r="A960" i="20" s="1"/>
  <c r="A962" i="20" s="1"/>
  <c r="A963" i="20" s="1"/>
  <c r="A964" i="20" s="1"/>
  <c r="A965" i="20" s="1"/>
  <c r="A967" i="20" s="1"/>
  <c r="A968" i="20" s="1"/>
  <c r="A972" i="20" s="1"/>
  <c r="A973" i="20" s="1"/>
  <c r="A978" i="20" s="1"/>
  <c r="A980" i="20" s="1"/>
  <c r="A982" i="20" s="1"/>
  <c r="A919" i="20"/>
  <c r="A917" i="20"/>
  <c r="A916" i="20"/>
  <c r="C899" i="20"/>
  <c r="C905" i="20" s="1"/>
  <c r="C898" i="20"/>
  <c r="C904" i="20" s="1"/>
  <c r="C897" i="20"/>
  <c r="C903" i="20" s="1"/>
  <c r="C896" i="20"/>
  <c r="C902" i="20" s="1"/>
  <c r="A889" i="20"/>
  <c r="A891" i="20" s="1"/>
  <c r="A892" i="20" s="1"/>
  <c r="A893" i="20" s="1"/>
  <c r="A895" i="20" s="1"/>
  <c r="A896" i="20" s="1"/>
  <c r="A897" i="20" s="1"/>
  <c r="A898" i="20" s="1"/>
  <c r="A899" i="20" s="1"/>
  <c r="A901" i="20" s="1"/>
  <c r="A902" i="20" s="1"/>
  <c r="A903" i="20" s="1"/>
  <c r="A904" i="20" s="1"/>
  <c r="A905" i="20" s="1"/>
  <c r="A908" i="20" s="1"/>
  <c r="A910" i="20" s="1"/>
  <c r="A912" i="20" s="1"/>
  <c r="A875" i="20"/>
  <c r="A873" i="20"/>
  <c r="A872" i="20"/>
  <c r="C855" i="20"/>
  <c r="C861" i="20" s="1"/>
  <c r="C854" i="20"/>
  <c r="C860" i="20" s="1"/>
  <c r="C853" i="20"/>
  <c r="C859" i="20" s="1"/>
  <c r="C852" i="20"/>
  <c r="C858" i="20" s="1"/>
  <c r="A820" i="20"/>
  <c r="A822" i="20" s="1"/>
  <c r="A823" i="20" s="1"/>
  <c r="A824" i="20" s="1"/>
  <c r="A826" i="20" s="1"/>
  <c r="A827" i="20" s="1"/>
  <c r="A829" i="20" s="1"/>
  <c r="A831" i="20" s="1"/>
  <c r="A833" i="20" s="1"/>
  <c r="A835" i="20" s="1"/>
  <c r="A836" i="20" s="1"/>
  <c r="A837" i="20" s="1"/>
  <c r="A838" i="20" s="1"/>
  <c r="A840" i="20" s="1"/>
  <c r="A843" i="20" s="1"/>
  <c r="A845" i="20" s="1"/>
  <c r="A847" i="20" s="1"/>
  <c r="A848" i="20" s="1"/>
  <c r="A849" i="20" s="1"/>
  <c r="A851" i="20" s="1"/>
  <c r="A852" i="20" s="1"/>
  <c r="A853" i="20" s="1"/>
  <c r="A854" i="20" s="1"/>
  <c r="A855" i="20" s="1"/>
  <c r="A857" i="20" s="1"/>
  <c r="A858" i="20" s="1"/>
  <c r="A859" i="20" s="1"/>
  <c r="A860" i="20" s="1"/>
  <c r="A861" i="20" s="1"/>
  <c r="A864" i="20" s="1"/>
  <c r="A866" i="20" s="1"/>
  <c r="A868" i="20" s="1"/>
  <c r="A804" i="20"/>
  <c r="A802" i="20"/>
  <c r="A801" i="20"/>
  <c r="A800" i="20"/>
  <c r="C761" i="20"/>
  <c r="C754" i="20"/>
  <c r="C759" i="20" s="1"/>
  <c r="A751" i="20"/>
  <c r="A753" i="20" s="1"/>
  <c r="A754" i="20" s="1"/>
  <c r="A758" i="20" s="1"/>
  <c r="A759" i="20" s="1"/>
  <c r="A764" i="20" s="1"/>
  <c r="A766" i="20" s="1"/>
  <c r="A768" i="20" s="1"/>
  <c r="A770" i="20" s="1"/>
  <c r="A771" i="20" s="1"/>
  <c r="A773" i="20" s="1"/>
  <c r="A776" i="20" s="1"/>
  <c r="A778" i="20" s="1"/>
  <c r="A780" i="20" s="1"/>
  <c r="A781" i="20" s="1"/>
  <c r="A782" i="20" s="1"/>
  <c r="A784" i="20" s="1"/>
  <c r="A785" i="20" s="1"/>
  <c r="A786" i="20" s="1"/>
  <c r="A787" i="20" s="1"/>
  <c r="A789" i="20" s="1"/>
  <c r="A791" i="20" s="1"/>
  <c r="A793" i="20" s="1"/>
  <c r="A794" i="20" s="1"/>
  <c r="A796" i="20" s="1"/>
  <c r="A733" i="20"/>
  <c r="A731" i="20"/>
  <c r="A730" i="20"/>
  <c r="A729" i="20"/>
  <c r="C707" i="20"/>
  <c r="C713" i="20" s="1"/>
  <c r="C706" i="20"/>
  <c r="C712" i="20" s="1"/>
  <c r="C705" i="20"/>
  <c r="C711" i="20" s="1"/>
  <c r="C704" i="20"/>
  <c r="C710" i="20" s="1"/>
  <c r="A697" i="20"/>
  <c r="A699" i="20" s="1"/>
  <c r="A700" i="20" s="1"/>
  <c r="A701" i="20" s="1"/>
  <c r="A703" i="20" s="1"/>
  <c r="A704" i="20" s="1"/>
  <c r="A705" i="20" s="1"/>
  <c r="A706" i="20" s="1"/>
  <c r="A707" i="20" s="1"/>
  <c r="A709" i="20" s="1"/>
  <c r="A710" i="20" s="1"/>
  <c r="A711" i="20" s="1"/>
  <c r="A712" i="20" s="1"/>
  <c r="A713" i="20" s="1"/>
  <c r="A716" i="20" s="1"/>
  <c r="A718" i="20" s="1"/>
  <c r="A720" i="20" s="1"/>
  <c r="A722" i="20" s="1"/>
  <c r="A723" i="20" s="1"/>
  <c r="A725" i="20" s="1"/>
  <c r="A683" i="20"/>
  <c r="A681" i="20"/>
  <c r="A680" i="20"/>
  <c r="A679" i="20"/>
  <c r="C656" i="20"/>
  <c r="C662" i="20" s="1"/>
  <c r="C655" i="20"/>
  <c r="C661" i="20" s="1"/>
  <c r="C654" i="20"/>
  <c r="C660" i="20" s="1"/>
  <c r="C653" i="20"/>
  <c r="C659" i="20" s="1"/>
  <c r="A646" i="20"/>
  <c r="A648" i="20" s="1"/>
  <c r="A649" i="20" s="1"/>
  <c r="A650" i="20" s="1"/>
  <c r="A652" i="20" s="1"/>
  <c r="A653" i="20" s="1"/>
  <c r="A654" i="20" s="1"/>
  <c r="A655" i="20" s="1"/>
  <c r="A656" i="20" s="1"/>
  <c r="A658" i="20" s="1"/>
  <c r="A659" i="20" s="1"/>
  <c r="A660" i="20" s="1"/>
  <c r="A661" i="20" s="1"/>
  <c r="A662" i="20" s="1"/>
  <c r="A665" i="20" s="1"/>
  <c r="A667" i="20" s="1"/>
  <c r="A669" i="20" s="1"/>
  <c r="A671" i="20" s="1"/>
  <c r="A672" i="20" s="1"/>
  <c r="A674" i="20" s="1"/>
  <c r="A632" i="20"/>
  <c r="A630" i="20"/>
  <c r="A629" i="20"/>
  <c r="C598" i="20"/>
  <c r="C602" i="20" s="1"/>
  <c r="C597" i="20"/>
  <c r="C601" i="20" s="1"/>
  <c r="A577" i="20"/>
  <c r="A575" i="20"/>
  <c r="A574" i="20"/>
  <c r="A510" i="20"/>
  <c r="A508" i="20"/>
  <c r="A507" i="20"/>
  <c r="A456" i="20"/>
  <c r="A458" i="20" s="1"/>
  <c r="A459" i="20" s="1"/>
  <c r="A461" i="20" s="1"/>
  <c r="A462" i="20" s="1"/>
  <c r="A464" i="20" s="1"/>
  <c r="A466" i="20" s="1"/>
  <c r="A468" i="20" s="1"/>
  <c r="A471" i="20" s="1"/>
  <c r="A473" i="20" s="1"/>
  <c r="A475" i="20" s="1"/>
  <c r="A476" i="20" s="1"/>
  <c r="A478" i="20" s="1"/>
  <c r="A479" i="20" s="1"/>
  <c r="A481" i="20" s="1"/>
  <c r="A483" i="20" s="1"/>
  <c r="A485" i="20" s="1"/>
  <c r="A490" i="20" s="1"/>
  <c r="A492" i="20" s="1"/>
  <c r="A493" i="20" s="1"/>
  <c r="A495" i="20" s="1"/>
  <c r="A496" i="20" s="1"/>
  <c r="A498" i="20" s="1"/>
  <c r="A500" i="20" s="1"/>
  <c r="A502" i="20" s="1"/>
  <c r="A524" i="20" s="1"/>
  <c r="A526" i="20" s="1"/>
  <c r="A527" i="20" s="1"/>
  <c r="A529" i="20" s="1"/>
  <c r="A530" i="20" s="1"/>
  <c r="A532" i="20" s="1"/>
  <c r="A534" i="20" s="1"/>
  <c r="A536" i="20" s="1"/>
  <c r="A539" i="20" s="1"/>
  <c r="A541" i="20" s="1"/>
  <c r="A543" i="20" s="1"/>
  <c r="A544" i="20" s="1"/>
  <c r="A546" i="20" s="1"/>
  <c r="A547" i="20" s="1"/>
  <c r="A549" i="20" s="1"/>
  <c r="A551" i="20" s="1"/>
  <c r="A553" i="20" s="1"/>
  <c r="A556" i="20" s="1"/>
  <c r="A558" i="20" s="1"/>
  <c r="A560" i="20" s="1"/>
  <c r="A561" i="20" s="1"/>
  <c r="A563" i="20" s="1"/>
  <c r="A564" i="20" s="1"/>
  <c r="A566" i="20" s="1"/>
  <c r="A568" i="20" s="1"/>
  <c r="A570" i="20" s="1"/>
  <c r="A591" i="20" s="1"/>
  <c r="A593" i="20" s="1"/>
  <c r="A594" i="20" s="1"/>
  <c r="A596" i="20" s="1"/>
  <c r="A597" i="20" s="1"/>
  <c r="A598" i="20" s="1"/>
  <c r="A600" i="20" s="1"/>
  <c r="A601" i="20" s="1"/>
  <c r="A602" i="20" s="1"/>
  <c r="A605" i="20" s="1"/>
  <c r="A607" i="20" s="1"/>
  <c r="A609" i="20" s="1"/>
  <c r="A611" i="20" s="1"/>
  <c r="A613" i="20" s="1"/>
  <c r="A615" i="20" s="1"/>
  <c r="A616" i="20" s="1"/>
  <c r="A618" i="20" s="1"/>
  <c r="A619" i="20" s="1"/>
  <c r="A621" i="20" s="1"/>
  <c r="A623" i="20" s="1"/>
  <c r="A625" i="20" s="1"/>
  <c r="A441" i="20"/>
  <c r="A439" i="20"/>
  <c r="A438" i="20"/>
  <c r="A437" i="20"/>
  <c r="A506" i="20" s="1"/>
  <c r="A395" i="20"/>
  <c r="A397" i="20" s="1"/>
  <c r="A398" i="20" s="1"/>
  <c r="A399" i="20" s="1"/>
  <c r="A401" i="20" s="1"/>
  <c r="A402" i="20" s="1"/>
  <c r="A404" i="20" s="1"/>
  <c r="A406" i="20" s="1"/>
  <c r="A408" i="20" s="1"/>
  <c r="A410" i="20" s="1"/>
  <c r="A411" i="20" s="1"/>
  <c r="A412" i="20" s="1"/>
  <c r="A413" i="20" s="1"/>
  <c r="A414" i="20" s="1"/>
  <c r="A416" i="20" s="1"/>
  <c r="A419" i="20" s="1"/>
  <c r="A421" i="20" s="1"/>
  <c r="A423" i="20" s="1"/>
  <c r="A424" i="20" s="1"/>
  <c r="A426" i="20" s="1"/>
  <c r="A427" i="20" s="1"/>
  <c r="A429" i="20" s="1"/>
  <c r="A431" i="20" s="1"/>
  <c r="A433" i="20" s="1"/>
  <c r="A380" i="20"/>
  <c r="A378" i="20"/>
  <c r="A377" i="20"/>
  <c r="A18" i="20"/>
  <c r="A19" i="20" s="1"/>
  <c r="A20" i="20" s="1"/>
  <c r="A21" i="20" s="1"/>
  <c r="A23" i="20" s="1"/>
  <c r="A25" i="20" s="1"/>
  <c r="A22" i="20" s="1"/>
  <c r="A26" i="20" s="1"/>
  <c r="A27" i="20" s="1"/>
  <c r="A28" i="20" s="1"/>
  <c r="A29" i="20" s="1"/>
  <c r="A30" i="20" s="1"/>
  <c r="A31" i="20" s="1"/>
  <c r="A32" i="20" s="1"/>
  <c r="A33" i="20" s="1"/>
  <c r="A34" i="20" s="1"/>
  <c r="A36" i="20" s="1"/>
  <c r="A4" i="20"/>
  <c r="A2" i="20"/>
  <c r="A1" i="20"/>
  <c r="O358" i="20"/>
  <c r="N358" i="20"/>
  <c r="M358" i="20"/>
  <c r="L358" i="20"/>
  <c r="K358" i="20"/>
  <c r="J358" i="20"/>
  <c r="I358" i="20"/>
  <c r="H358" i="20"/>
  <c r="G358" i="20"/>
  <c r="F358" i="20"/>
  <c r="E358" i="20"/>
  <c r="O351" i="20"/>
  <c r="N351" i="20"/>
  <c r="M351" i="20"/>
  <c r="L351" i="20"/>
  <c r="K351" i="20"/>
  <c r="J351" i="20"/>
  <c r="I351" i="20"/>
  <c r="H351" i="20"/>
  <c r="G351" i="20"/>
  <c r="F351" i="20"/>
  <c r="E351" i="20"/>
  <c r="O324" i="20"/>
  <c r="N324" i="20"/>
  <c r="M324" i="20"/>
  <c r="L324" i="20"/>
  <c r="K324" i="20"/>
  <c r="J324" i="20"/>
  <c r="I324" i="20"/>
  <c r="H324" i="20"/>
  <c r="G324" i="20"/>
  <c r="F324" i="20"/>
  <c r="E324" i="20"/>
  <c r="O317" i="20"/>
  <c r="N317" i="20"/>
  <c r="M317" i="20"/>
  <c r="L317" i="20"/>
  <c r="K317" i="20"/>
  <c r="J317" i="20"/>
  <c r="I317" i="20"/>
  <c r="H317" i="20"/>
  <c r="G317" i="20"/>
  <c r="F317" i="20"/>
  <c r="E317" i="20"/>
  <c r="O310" i="20"/>
  <c r="N310" i="20"/>
  <c r="M310" i="20"/>
  <c r="L310" i="20"/>
  <c r="K310" i="20"/>
  <c r="J310" i="20"/>
  <c r="I310" i="20"/>
  <c r="H310" i="20"/>
  <c r="G310" i="20"/>
  <c r="F310" i="20"/>
  <c r="E310" i="20"/>
  <c r="A306" i="20"/>
  <c r="A307" i="20" s="1"/>
  <c r="A308" i="20" s="1"/>
  <c r="A309" i="20" s="1"/>
  <c r="A310" i="20" s="1"/>
  <c r="A311" i="20" s="1"/>
  <c r="A313" i="20" s="1"/>
  <c r="A314" i="20" s="1"/>
  <c r="A315" i="20" s="1"/>
  <c r="A316" i="20" s="1"/>
  <c r="A317" i="20" s="1"/>
  <c r="A318" i="20" s="1"/>
  <c r="A320" i="20" s="1"/>
  <c r="A321" i="20" s="1"/>
  <c r="A322" i="20" s="1"/>
  <c r="A323" i="20" s="1"/>
  <c r="A324" i="20" s="1"/>
  <c r="A325" i="20" s="1"/>
  <c r="A348" i="20" s="1"/>
  <c r="A349" i="20" s="1"/>
  <c r="A350" i="20" s="1"/>
  <c r="A351" i="20" s="1"/>
  <c r="A352" i="20" s="1"/>
  <c r="A354" i="20" s="1"/>
  <c r="A355" i="20" s="1"/>
  <c r="A356" i="20" s="1"/>
  <c r="A357" i="20" s="1"/>
  <c r="A358" i="20" s="1"/>
  <c r="A359" i="20" s="1"/>
  <c r="A361" i="20" s="1"/>
  <c r="A363" i="20" s="1"/>
  <c r="A365" i="20" s="1"/>
  <c r="A366" i="20" s="1"/>
  <c r="A367" i="20" s="1"/>
  <c r="A368" i="20" s="1"/>
  <c r="A369" i="20" s="1"/>
  <c r="A371" i="20" s="1"/>
  <c r="A373" i="20" s="1"/>
  <c r="A270" i="20"/>
  <c r="A268" i="20"/>
  <c r="A267" i="20"/>
  <c r="O303" i="20"/>
  <c r="N303" i="20"/>
  <c r="M303" i="20"/>
  <c r="L303" i="20"/>
  <c r="K303" i="20"/>
  <c r="J303" i="20"/>
  <c r="I303" i="20"/>
  <c r="H303" i="20"/>
  <c r="G303" i="20"/>
  <c r="F303" i="20"/>
  <c r="E303" i="20"/>
  <c r="O296" i="20"/>
  <c r="N296" i="20"/>
  <c r="M296" i="20"/>
  <c r="L296" i="20"/>
  <c r="K296" i="20"/>
  <c r="J296" i="20"/>
  <c r="I296" i="20"/>
  <c r="H296" i="20"/>
  <c r="G296" i="20"/>
  <c r="F296" i="20"/>
  <c r="E296" i="20"/>
  <c r="O289" i="20"/>
  <c r="N289" i="20"/>
  <c r="M289" i="20"/>
  <c r="L289" i="20"/>
  <c r="K289" i="20"/>
  <c r="J289" i="20"/>
  <c r="I289" i="20"/>
  <c r="H289" i="20"/>
  <c r="G289" i="20"/>
  <c r="F289" i="20"/>
  <c r="E289" i="20"/>
  <c r="O261" i="20"/>
  <c r="N261" i="20"/>
  <c r="M261" i="20"/>
  <c r="L261" i="20"/>
  <c r="K261" i="20"/>
  <c r="J261" i="20"/>
  <c r="I261" i="20"/>
  <c r="H261" i="20"/>
  <c r="G261" i="20"/>
  <c r="F261" i="20"/>
  <c r="E261" i="20"/>
  <c r="O254" i="20"/>
  <c r="N254" i="20"/>
  <c r="M254" i="20"/>
  <c r="L254" i="20"/>
  <c r="K254" i="20"/>
  <c r="J254" i="20"/>
  <c r="I254" i="20"/>
  <c r="H254" i="20"/>
  <c r="G254" i="20"/>
  <c r="F254" i="20"/>
  <c r="E254" i="20"/>
  <c r="O247" i="20"/>
  <c r="N247" i="20"/>
  <c r="M247" i="20"/>
  <c r="L247" i="20"/>
  <c r="K247" i="20"/>
  <c r="J247" i="20"/>
  <c r="I247" i="20"/>
  <c r="H247" i="20"/>
  <c r="G247" i="20"/>
  <c r="F247" i="20"/>
  <c r="E247" i="20"/>
  <c r="O240" i="20"/>
  <c r="N240" i="20"/>
  <c r="M240" i="20"/>
  <c r="L240" i="20"/>
  <c r="K240" i="20"/>
  <c r="J240" i="20"/>
  <c r="I240" i="20"/>
  <c r="H240" i="20"/>
  <c r="G240" i="20"/>
  <c r="F240" i="20"/>
  <c r="E240" i="20"/>
  <c r="O233" i="20"/>
  <c r="N233" i="20"/>
  <c r="M233" i="20"/>
  <c r="L233" i="20"/>
  <c r="K233" i="20"/>
  <c r="J233" i="20"/>
  <c r="I233" i="20"/>
  <c r="H233" i="20"/>
  <c r="G233" i="20"/>
  <c r="F233" i="20"/>
  <c r="E233" i="20"/>
  <c r="O226" i="20"/>
  <c r="N226" i="20"/>
  <c r="M226" i="20"/>
  <c r="L226" i="20"/>
  <c r="K226" i="20"/>
  <c r="J226" i="20"/>
  <c r="I226" i="20"/>
  <c r="H226" i="20"/>
  <c r="G226" i="20"/>
  <c r="F226" i="20"/>
  <c r="E226" i="20"/>
  <c r="A222" i="20"/>
  <c r="A223" i="20" s="1"/>
  <c r="A224" i="20" s="1"/>
  <c r="A225" i="20" s="1"/>
  <c r="A226" i="20" s="1"/>
  <c r="A227" i="20" s="1"/>
  <c r="A229" i="20" s="1"/>
  <c r="A230" i="20" s="1"/>
  <c r="A231" i="20" s="1"/>
  <c r="A232" i="20" s="1"/>
  <c r="A233" i="20" s="1"/>
  <c r="A234" i="20" s="1"/>
  <c r="A236" i="20" s="1"/>
  <c r="A237" i="20" s="1"/>
  <c r="A238" i="20" s="1"/>
  <c r="A239" i="20" s="1"/>
  <c r="A240" i="20" s="1"/>
  <c r="A241" i="20" s="1"/>
  <c r="A243" i="20" s="1"/>
  <c r="A244" i="20" s="1"/>
  <c r="A245" i="20" s="1"/>
  <c r="A246" i="20" s="1"/>
  <c r="A247" i="20" s="1"/>
  <c r="A248" i="20" s="1"/>
  <c r="A250" i="20" s="1"/>
  <c r="A251" i="20" s="1"/>
  <c r="A252" i="20" s="1"/>
  <c r="A253" i="20" s="1"/>
  <c r="A254" i="20" s="1"/>
  <c r="A255" i="20" s="1"/>
  <c r="A257" i="20" s="1"/>
  <c r="A258" i="20" s="1"/>
  <c r="A259" i="20" s="1"/>
  <c r="A260" i="20" s="1"/>
  <c r="A261" i="20" s="1"/>
  <c r="A262" i="20" s="1"/>
  <c r="A286" i="20" s="1"/>
  <c r="A287" i="20" s="1"/>
  <c r="A288" i="20" s="1"/>
  <c r="A289" i="20" s="1"/>
  <c r="A290" i="20" s="1"/>
  <c r="A292" i="20" s="1"/>
  <c r="A293" i="20" s="1"/>
  <c r="A294" i="20" s="1"/>
  <c r="A295" i="20" s="1"/>
  <c r="A296" i="20" s="1"/>
  <c r="A297" i="20" s="1"/>
  <c r="A299" i="20" s="1"/>
  <c r="A300" i="20" s="1"/>
  <c r="A301" i="20" s="1"/>
  <c r="A302" i="20" s="1"/>
  <c r="A303" i="20" s="1"/>
  <c r="A304" i="20" s="1"/>
  <c r="A208" i="20"/>
  <c r="A206" i="20"/>
  <c r="A205" i="20"/>
  <c r="O151" i="20"/>
  <c r="N151" i="20"/>
  <c r="M151" i="20"/>
  <c r="L151" i="20"/>
  <c r="K151" i="20"/>
  <c r="J151" i="20"/>
  <c r="I151" i="20"/>
  <c r="H151" i="20"/>
  <c r="G151" i="20"/>
  <c r="F151" i="20"/>
  <c r="E151" i="20"/>
  <c r="O144" i="20"/>
  <c r="N144" i="20"/>
  <c r="M144" i="20"/>
  <c r="L144" i="20"/>
  <c r="K144" i="20"/>
  <c r="J144" i="20"/>
  <c r="I144" i="20"/>
  <c r="H144" i="20"/>
  <c r="G144" i="20"/>
  <c r="F144" i="20"/>
  <c r="E144" i="20"/>
  <c r="A140" i="20"/>
  <c r="A141" i="20" s="1"/>
  <c r="A142" i="20" s="1"/>
  <c r="A143" i="20" s="1"/>
  <c r="A144" i="20" s="1"/>
  <c r="A145" i="20" s="1"/>
  <c r="A147" i="20" s="1"/>
  <c r="A148" i="20" s="1"/>
  <c r="A149" i="20" s="1"/>
  <c r="A150" i="20" s="1"/>
  <c r="A151" i="20" s="1"/>
  <c r="A152" i="20" s="1"/>
  <c r="A154" i="20" s="1"/>
  <c r="A155" i="20" s="1"/>
  <c r="A156" i="20" s="1"/>
  <c r="A157" i="20" s="1"/>
  <c r="A158" i="20" s="1"/>
  <c r="A159" i="20" s="1"/>
  <c r="A182" i="20" s="1"/>
  <c r="A183" i="20" s="1"/>
  <c r="A184" i="20" s="1"/>
  <c r="A185" i="20" s="1"/>
  <c r="A186" i="20" s="1"/>
  <c r="A188" i="20" s="1"/>
  <c r="A189" i="20" s="1"/>
  <c r="A190" i="20" s="1"/>
  <c r="A191" i="20" s="1"/>
  <c r="A192" i="20" s="1"/>
  <c r="A193" i="20" s="1"/>
  <c r="A195" i="20" s="1"/>
  <c r="A196" i="20" s="1"/>
  <c r="A197" i="20" s="1"/>
  <c r="A198" i="20" s="1"/>
  <c r="A199" i="20" s="1"/>
  <c r="A200" i="20" s="1"/>
  <c r="A117" i="20"/>
  <c r="A112" i="20"/>
  <c r="A110" i="20"/>
  <c r="A109" i="20"/>
  <c r="O137" i="20"/>
  <c r="N137" i="20"/>
  <c r="M137" i="20"/>
  <c r="L137" i="20"/>
  <c r="K137" i="20"/>
  <c r="J137" i="20"/>
  <c r="I137" i="20"/>
  <c r="H137" i="20"/>
  <c r="G137" i="20"/>
  <c r="F137" i="20"/>
  <c r="E137" i="20"/>
  <c r="O130" i="20"/>
  <c r="N130" i="20"/>
  <c r="M130" i="20"/>
  <c r="L130" i="20"/>
  <c r="K130" i="20"/>
  <c r="J130" i="20"/>
  <c r="I130" i="20"/>
  <c r="H130" i="20"/>
  <c r="G130" i="20"/>
  <c r="F130" i="20"/>
  <c r="E130" i="20"/>
  <c r="O103" i="20"/>
  <c r="N103" i="20"/>
  <c r="M103" i="20"/>
  <c r="L103" i="20"/>
  <c r="K103" i="20"/>
  <c r="J103" i="20"/>
  <c r="I103" i="20"/>
  <c r="H103" i="20"/>
  <c r="G103" i="20"/>
  <c r="F103" i="20"/>
  <c r="E103" i="20"/>
  <c r="O89" i="20"/>
  <c r="N89" i="20"/>
  <c r="M89" i="20"/>
  <c r="L89" i="20"/>
  <c r="K89" i="20"/>
  <c r="J89" i="20"/>
  <c r="I89" i="20"/>
  <c r="H89" i="20"/>
  <c r="G89" i="20"/>
  <c r="F89" i="20"/>
  <c r="E89" i="20"/>
  <c r="A64" i="20"/>
  <c r="A65" i="20" s="1"/>
  <c r="A66" i="20" s="1"/>
  <c r="A67" i="20" s="1"/>
  <c r="A68" i="20" s="1"/>
  <c r="A69" i="20" s="1"/>
  <c r="A71" i="20" s="1"/>
  <c r="A72" i="20" s="1"/>
  <c r="A73" i="20" s="1"/>
  <c r="A74" i="20" s="1"/>
  <c r="A75" i="20" s="1"/>
  <c r="A76" i="20" s="1"/>
  <c r="A78" i="20" s="1"/>
  <c r="A79" i="20" s="1"/>
  <c r="A80" i="20" s="1"/>
  <c r="A81" i="20" s="1"/>
  <c r="A82" i="20" s="1"/>
  <c r="A83" i="20" s="1"/>
  <c r="A85" i="20" s="1"/>
  <c r="A86" i="20" s="1"/>
  <c r="A87" i="20" s="1"/>
  <c r="A88" i="20" s="1"/>
  <c r="A89" i="20" s="1"/>
  <c r="A90" i="20" s="1"/>
  <c r="A50" i="20"/>
  <c r="A48" i="20"/>
  <c r="A47" i="20"/>
  <c r="D283" i="2"/>
  <c r="E283" i="2"/>
  <c r="F283" i="2"/>
  <c r="G283" i="2"/>
  <c r="H283" i="2"/>
  <c r="I283" i="2"/>
  <c r="J283" i="2"/>
  <c r="K283" i="2"/>
  <c r="L283" i="2"/>
  <c r="M283" i="2"/>
  <c r="N283" i="2"/>
  <c r="D276" i="2"/>
  <c r="E276" i="2"/>
  <c r="F276" i="2"/>
  <c r="G276" i="2"/>
  <c r="H276" i="2"/>
  <c r="I276" i="2"/>
  <c r="J276" i="2"/>
  <c r="K276" i="2"/>
  <c r="L276" i="2"/>
  <c r="M276" i="2"/>
  <c r="N276" i="2"/>
  <c r="D277" i="2"/>
  <c r="E277" i="2"/>
  <c r="F277" i="2"/>
  <c r="G277" i="2"/>
  <c r="H277" i="2"/>
  <c r="I277" i="2"/>
  <c r="J277" i="2"/>
  <c r="K277" i="2"/>
  <c r="L277" i="2"/>
  <c r="M277" i="2"/>
  <c r="N277" i="2"/>
  <c r="A256" i="2"/>
  <c r="N271" i="2"/>
  <c r="M271" i="2"/>
  <c r="L271" i="2"/>
  <c r="K271" i="2"/>
  <c r="L1236" i="8" s="1"/>
  <c r="L359" i="8" s="1"/>
  <c r="J271" i="2"/>
  <c r="K1236" i="8" s="1"/>
  <c r="I271" i="2"/>
  <c r="H271" i="2"/>
  <c r="G271" i="2"/>
  <c r="H1236" i="8" s="1"/>
  <c r="F271" i="2"/>
  <c r="G1236" i="8" s="1"/>
  <c r="E271" i="2"/>
  <c r="D271" i="2"/>
  <c r="E1236" i="8" s="1"/>
  <c r="N246" i="2"/>
  <c r="O1166" i="20" s="1"/>
  <c r="O321" i="20" s="1"/>
  <c r="M246" i="2"/>
  <c r="L246" i="2"/>
  <c r="M1166" i="20" s="1"/>
  <c r="M321" i="20" s="1"/>
  <c r="K246" i="2"/>
  <c r="J246" i="2"/>
  <c r="I246" i="2"/>
  <c r="H246" i="2"/>
  <c r="G246" i="2"/>
  <c r="F246" i="2"/>
  <c r="G1166" i="20" s="1"/>
  <c r="E246" i="2"/>
  <c r="D246" i="2"/>
  <c r="N240" i="2"/>
  <c r="M240" i="2"/>
  <c r="L240" i="2"/>
  <c r="K240" i="2"/>
  <c r="J240" i="2"/>
  <c r="I240" i="2"/>
  <c r="J1148" i="20" s="1"/>
  <c r="H240" i="2"/>
  <c r="G240" i="2"/>
  <c r="H1148" i="20" s="1"/>
  <c r="F240" i="2"/>
  <c r="E240" i="2"/>
  <c r="F1152" i="8" s="1"/>
  <c r="D240" i="2"/>
  <c r="E1148" i="20" s="1"/>
  <c r="E314" i="20" s="1"/>
  <c r="N234" i="2"/>
  <c r="M234" i="2"/>
  <c r="L234" i="2"/>
  <c r="K234" i="2"/>
  <c r="L1114" i="20" s="1"/>
  <c r="J234" i="2"/>
  <c r="I234" i="2"/>
  <c r="H234" i="2"/>
  <c r="G234" i="2"/>
  <c r="H1118" i="8" s="1"/>
  <c r="F234" i="2"/>
  <c r="E234" i="2"/>
  <c r="D234" i="2"/>
  <c r="E1114" i="20" s="1"/>
  <c r="N228" i="2"/>
  <c r="M228" i="2"/>
  <c r="N1100" i="8" s="1"/>
  <c r="N304" i="8" s="1"/>
  <c r="L228" i="2"/>
  <c r="K228" i="2"/>
  <c r="L1100" i="8" s="1"/>
  <c r="J228" i="2"/>
  <c r="K1096" i="20" s="1"/>
  <c r="I228" i="2"/>
  <c r="J1100" i="8" s="1"/>
  <c r="J304" i="8" s="1"/>
  <c r="H228" i="2"/>
  <c r="G228" i="2"/>
  <c r="F228" i="2"/>
  <c r="E228" i="2"/>
  <c r="F1096" i="20" s="1"/>
  <c r="D228" i="2"/>
  <c r="N222" i="2"/>
  <c r="O1082" i="8" s="1"/>
  <c r="M222" i="2"/>
  <c r="H222" i="2"/>
  <c r="I1078" i="20" s="1"/>
  <c r="J222" i="2"/>
  <c r="F222" i="2"/>
  <c r="L222" i="2"/>
  <c r="M1082" i="8" s="1"/>
  <c r="K222" i="2"/>
  <c r="I222" i="2"/>
  <c r="G222" i="2"/>
  <c r="H1078" i="20" s="1"/>
  <c r="E222" i="2"/>
  <c r="F1082" i="8" s="1"/>
  <c r="D222" i="2"/>
  <c r="A207" i="2"/>
  <c r="D186" i="2"/>
  <c r="D188" i="2" s="1"/>
  <c r="E965" i="8" s="1"/>
  <c r="E186" i="2"/>
  <c r="E188" i="2" s="1"/>
  <c r="F186" i="2"/>
  <c r="F188" i="2" s="1"/>
  <c r="G965" i="8" s="1"/>
  <c r="G186" i="2"/>
  <c r="G188" i="2" s="1"/>
  <c r="H965" i="8" s="1"/>
  <c r="H186" i="2"/>
  <c r="H188" i="2" s="1"/>
  <c r="I965" i="8" s="1"/>
  <c r="I186" i="2"/>
  <c r="I188" i="2" s="1"/>
  <c r="J186" i="2"/>
  <c r="K186" i="2"/>
  <c r="L186" i="2"/>
  <c r="L188" i="2" s="1"/>
  <c r="M186" i="2"/>
  <c r="M188" i="2" s="1"/>
  <c r="N186" i="2"/>
  <c r="N188" i="2" s="1"/>
  <c r="O962" i="20" s="1"/>
  <c r="E182" i="2"/>
  <c r="F935" i="20" s="1"/>
  <c r="F244" i="20" s="1"/>
  <c r="F182" i="2"/>
  <c r="H182" i="2"/>
  <c r="N182" i="2"/>
  <c r="N176" i="2"/>
  <c r="O893" i="8" s="1"/>
  <c r="M176" i="2"/>
  <c r="L176" i="2"/>
  <c r="K176" i="2"/>
  <c r="J176" i="2"/>
  <c r="K893" i="8" s="1"/>
  <c r="I176" i="2"/>
  <c r="H176" i="2"/>
  <c r="G176" i="2"/>
  <c r="H891" i="20" s="1"/>
  <c r="F176" i="2"/>
  <c r="G891" i="20" s="1"/>
  <c r="G237" i="20" s="1"/>
  <c r="E176" i="2"/>
  <c r="D176" i="2"/>
  <c r="E893" i="8" s="1"/>
  <c r="N164" i="2"/>
  <c r="O823" i="8" s="1"/>
  <c r="M164" i="2"/>
  <c r="N823" i="8" s="1"/>
  <c r="L164" i="2"/>
  <c r="K164" i="2"/>
  <c r="J164" i="2"/>
  <c r="I164" i="2"/>
  <c r="H164" i="2"/>
  <c r="I822" i="20" s="1"/>
  <c r="G164" i="2"/>
  <c r="H822" i="20" s="1"/>
  <c r="F164" i="2"/>
  <c r="G823" i="8" s="1"/>
  <c r="G228" i="8" s="1"/>
  <c r="E164" i="2"/>
  <c r="F822" i="20" s="1"/>
  <c r="D164" i="2"/>
  <c r="E822" i="20" s="1"/>
  <c r="A162" i="2"/>
  <c r="D138" i="2"/>
  <c r="E138" i="2"/>
  <c r="F138" i="2"/>
  <c r="G138" i="2"/>
  <c r="H138" i="2"/>
  <c r="I138" i="2"/>
  <c r="J138" i="2"/>
  <c r="K138" i="2"/>
  <c r="L138" i="2"/>
  <c r="M138" i="2"/>
  <c r="N138" i="2"/>
  <c r="D139" i="2"/>
  <c r="E139" i="2"/>
  <c r="F139" i="2"/>
  <c r="G139" i="2"/>
  <c r="H139" i="2"/>
  <c r="I139" i="2"/>
  <c r="J139" i="2"/>
  <c r="K139" i="2"/>
  <c r="L139" i="2"/>
  <c r="M139" i="2"/>
  <c r="N139" i="2"/>
  <c r="D137" i="2"/>
  <c r="E137" i="2"/>
  <c r="F137" i="2"/>
  <c r="G137" i="2"/>
  <c r="H137" i="2"/>
  <c r="I137" i="2"/>
  <c r="J137" i="2"/>
  <c r="K137" i="2"/>
  <c r="L137" i="2"/>
  <c r="M137" i="2"/>
  <c r="N137" i="2"/>
  <c r="D121" i="2"/>
  <c r="E121" i="2"/>
  <c r="F121" i="2"/>
  <c r="G121" i="2"/>
  <c r="H121" i="2"/>
  <c r="I121" i="2"/>
  <c r="J121" i="2"/>
  <c r="K121" i="2"/>
  <c r="L121" i="2"/>
  <c r="M121" i="2"/>
  <c r="N121" i="2"/>
  <c r="D120" i="2"/>
  <c r="E120" i="2"/>
  <c r="F120" i="2"/>
  <c r="G120" i="2"/>
  <c r="H120" i="2"/>
  <c r="I120" i="2"/>
  <c r="J120" i="2"/>
  <c r="K120" i="2"/>
  <c r="L120" i="2"/>
  <c r="M120" i="2"/>
  <c r="N120" i="2"/>
  <c r="A106" i="2"/>
  <c r="A56" i="2"/>
  <c r="N99" i="2"/>
  <c r="O780" i="20" s="1"/>
  <c r="M99" i="2"/>
  <c r="N780" i="20" s="1"/>
  <c r="L99" i="2"/>
  <c r="M780" i="20" s="1"/>
  <c r="M196" i="20" s="1"/>
  <c r="K99" i="2"/>
  <c r="L783" i="8" s="1"/>
  <c r="L200" i="8" s="1"/>
  <c r="J99" i="2"/>
  <c r="K780" i="20" s="1"/>
  <c r="K196" i="20" s="1"/>
  <c r="I99" i="2"/>
  <c r="H99" i="2"/>
  <c r="I780" i="20" s="1"/>
  <c r="G99" i="2"/>
  <c r="H780" i="20" s="1"/>
  <c r="F99" i="2"/>
  <c r="G783" i="8" s="1"/>
  <c r="E99" i="2"/>
  <c r="F783" i="8" s="1"/>
  <c r="F200" i="8" s="1"/>
  <c r="D99" i="2"/>
  <c r="E783" i="8" s="1"/>
  <c r="N93" i="2"/>
  <c r="O749" i="20" s="1"/>
  <c r="O189" i="20" s="1"/>
  <c r="M93" i="2"/>
  <c r="N752" i="8" s="1"/>
  <c r="L93" i="2"/>
  <c r="M749" i="20" s="1"/>
  <c r="K93" i="2"/>
  <c r="L749" i="20" s="1"/>
  <c r="L189" i="20" s="1"/>
  <c r="J93" i="2"/>
  <c r="K749" i="20" s="1"/>
  <c r="K189" i="20" s="1"/>
  <c r="I93" i="2"/>
  <c r="H93" i="2"/>
  <c r="G93" i="2"/>
  <c r="H752" i="8" s="1"/>
  <c r="F93" i="2"/>
  <c r="G749" i="20" s="1"/>
  <c r="E93" i="2"/>
  <c r="F752" i="8" s="1"/>
  <c r="D93" i="2"/>
  <c r="N75" i="2"/>
  <c r="M75" i="2"/>
  <c r="L75" i="2"/>
  <c r="M618" i="8" s="1"/>
  <c r="K75" i="2"/>
  <c r="J75" i="2"/>
  <c r="I75" i="2"/>
  <c r="J618" i="8" s="1"/>
  <c r="H75" i="2"/>
  <c r="I615" i="20" s="1"/>
  <c r="G75" i="2"/>
  <c r="H615" i="20" s="1"/>
  <c r="F75" i="2"/>
  <c r="E75" i="2"/>
  <c r="F615" i="20" s="1"/>
  <c r="D75" i="2"/>
  <c r="E615" i="20" s="1"/>
  <c r="N70" i="2"/>
  <c r="M70" i="2"/>
  <c r="L70" i="2"/>
  <c r="M595" i="8" s="1"/>
  <c r="M144" i="8" s="1"/>
  <c r="K70" i="2"/>
  <c r="L595" i="8" s="1"/>
  <c r="L144" i="8" s="1"/>
  <c r="J70" i="2"/>
  <c r="I70" i="2"/>
  <c r="H70" i="2"/>
  <c r="G70" i="2"/>
  <c r="H595" i="8" s="1"/>
  <c r="F70" i="2"/>
  <c r="G593" i="20" s="1"/>
  <c r="G141" i="20" s="1"/>
  <c r="E70" i="2"/>
  <c r="D70" i="2"/>
  <c r="N52" i="2"/>
  <c r="O562" i="8" s="1"/>
  <c r="M52" i="2"/>
  <c r="L52" i="2"/>
  <c r="K52" i="2"/>
  <c r="J52" i="2"/>
  <c r="K560" i="20" s="1"/>
  <c r="I52" i="2"/>
  <c r="H52" i="2"/>
  <c r="G52" i="2"/>
  <c r="F52" i="2"/>
  <c r="E52" i="2"/>
  <c r="F560" i="20" s="1"/>
  <c r="F134" i="20" s="1"/>
  <c r="D52" i="2"/>
  <c r="N47" i="2"/>
  <c r="M47" i="2"/>
  <c r="L47" i="2"/>
  <c r="M545" i="8" s="1"/>
  <c r="K47" i="2"/>
  <c r="J47" i="2"/>
  <c r="K543" i="20" s="1"/>
  <c r="I47" i="2"/>
  <c r="H47" i="2"/>
  <c r="G47" i="2"/>
  <c r="F47" i="2"/>
  <c r="E47" i="2"/>
  <c r="F543" i="20" s="1"/>
  <c r="D47" i="2"/>
  <c r="N42" i="2"/>
  <c r="M42" i="2"/>
  <c r="N528" i="8" s="1"/>
  <c r="L42" i="2"/>
  <c r="M528" i="8" s="1"/>
  <c r="M101" i="8" s="1"/>
  <c r="K42" i="2"/>
  <c r="J42" i="2"/>
  <c r="I42" i="2"/>
  <c r="J528" i="8" s="1"/>
  <c r="J101" i="8" s="1"/>
  <c r="H42" i="2"/>
  <c r="G42" i="2"/>
  <c r="F42" i="2"/>
  <c r="E42" i="2"/>
  <c r="D42" i="2"/>
  <c r="E526" i="20" s="1"/>
  <c r="E100" i="20" s="1"/>
  <c r="A61" i="2"/>
  <c r="N37" i="2"/>
  <c r="M37" i="2"/>
  <c r="N494" i="8" s="1"/>
  <c r="N94" i="8" s="1"/>
  <c r="L37" i="2"/>
  <c r="M494" i="8" s="1"/>
  <c r="K37" i="2"/>
  <c r="J37" i="2"/>
  <c r="K492" i="20" s="1"/>
  <c r="I37" i="2"/>
  <c r="J494" i="8" s="1"/>
  <c r="J94" i="8" s="1"/>
  <c r="H37" i="2"/>
  <c r="I494" i="8" s="1"/>
  <c r="G37" i="2"/>
  <c r="H492" i="20" s="1"/>
  <c r="F37" i="2"/>
  <c r="E37" i="2"/>
  <c r="F494" i="8" s="1"/>
  <c r="F94" i="8" s="1"/>
  <c r="D37" i="2"/>
  <c r="E494" i="8" s="1"/>
  <c r="N32" i="2"/>
  <c r="O475" i="20" s="1"/>
  <c r="O86" i="20" s="1"/>
  <c r="M32" i="2"/>
  <c r="L32" i="2"/>
  <c r="K32" i="2"/>
  <c r="L475" i="20" s="1"/>
  <c r="L86" i="20" s="1"/>
  <c r="J32" i="2"/>
  <c r="I32" i="2"/>
  <c r="H32" i="2"/>
  <c r="I475" i="20" s="1"/>
  <c r="I86" i="20" s="1"/>
  <c r="G32" i="2"/>
  <c r="F32" i="2"/>
  <c r="G477" i="8" s="1"/>
  <c r="E32" i="2"/>
  <c r="D32" i="2"/>
  <c r="E475" i="20" s="1"/>
  <c r="E86" i="20" s="1"/>
  <c r="N27" i="2"/>
  <c r="M27" i="2"/>
  <c r="L27" i="2"/>
  <c r="K27" i="2"/>
  <c r="L458" i="20" s="1"/>
  <c r="L79" i="20" s="1"/>
  <c r="J27" i="2"/>
  <c r="K460" i="8" s="1"/>
  <c r="K80" i="8" s="1"/>
  <c r="I27" i="2"/>
  <c r="J460" i="8" s="1"/>
  <c r="H27" i="2"/>
  <c r="G27" i="2"/>
  <c r="H458" i="20" s="1"/>
  <c r="H79" i="20" s="1"/>
  <c r="F27" i="2"/>
  <c r="E27" i="2"/>
  <c r="D27" i="2"/>
  <c r="E458" i="20" s="1"/>
  <c r="E79" i="20" s="1"/>
  <c r="N22" i="2"/>
  <c r="M22" i="2"/>
  <c r="N426" i="8" s="1"/>
  <c r="N73" i="8" s="1"/>
  <c r="J22" i="2"/>
  <c r="I22" i="2"/>
  <c r="J423" i="20" s="1"/>
  <c r="J72" i="20" s="1"/>
  <c r="F22" i="2"/>
  <c r="E22" i="2"/>
  <c r="L22" i="2"/>
  <c r="M423" i="20" s="1"/>
  <c r="M72" i="20" s="1"/>
  <c r="K22" i="2"/>
  <c r="H22" i="2"/>
  <c r="I426" i="8" s="1"/>
  <c r="I73" i="8" s="1"/>
  <c r="G22" i="2"/>
  <c r="D22" i="2"/>
  <c r="E426" i="8" s="1"/>
  <c r="E73" i="8" s="1"/>
  <c r="A15" i="2"/>
  <c r="D422" i="3"/>
  <c r="E422" i="3"/>
  <c r="F422" i="3"/>
  <c r="G422" i="3"/>
  <c r="H422" i="3"/>
  <c r="I422" i="3"/>
  <c r="J422" i="3"/>
  <c r="K422" i="3"/>
  <c r="L422" i="3"/>
  <c r="M422" i="3"/>
  <c r="N422" i="3"/>
  <c r="D423" i="3"/>
  <c r="E423" i="3"/>
  <c r="F423" i="3"/>
  <c r="G423" i="3"/>
  <c r="H423" i="3"/>
  <c r="I423" i="3"/>
  <c r="J423" i="3"/>
  <c r="K423" i="3"/>
  <c r="L423" i="3"/>
  <c r="M423" i="3"/>
  <c r="N423" i="3"/>
  <c r="D174" i="3"/>
  <c r="E174" i="3"/>
  <c r="F174" i="3"/>
  <c r="G174" i="3"/>
  <c r="H174" i="3"/>
  <c r="I174" i="3"/>
  <c r="J174" i="3"/>
  <c r="K174" i="3"/>
  <c r="L174" i="3"/>
  <c r="M174" i="3"/>
  <c r="N174" i="3"/>
  <c r="D175" i="3"/>
  <c r="E175" i="3"/>
  <c r="F175" i="3"/>
  <c r="G175" i="3"/>
  <c r="H175" i="3"/>
  <c r="I175" i="3"/>
  <c r="J175" i="3"/>
  <c r="K175" i="3"/>
  <c r="L175" i="3"/>
  <c r="M175" i="3"/>
  <c r="N175" i="3"/>
  <c r="N401" i="3"/>
  <c r="M401" i="3"/>
  <c r="L401" i="3"/>
  <c r="K401" i="3"/>
  <c r="J401" i="3"/>
  <c r="I401" i="3"/>
  <c r="H401" i="3"/>
  <c r="G401" i="3"/>
  <c r="F401" i="3"/>
  <c r="E401" i="3"/>
  <c r="D401" i="3"/>
  <c r="D397" i="3"/>
  <c r="E397" i="3"/>
  <c r="F397" i="3"/>
  <c r="G397" i="3"/>
  <c r="H397" i="3"/>
  <c r="I397" i="3"/>
  <c r="J397" i="3"/>
  <c r="K397" i="3"/>
  <c r="L397" i="3"/>
  <c r="M397" i="3"/>
  <c r="N397" i="3"/>
  <c r="D381" i="3"/>
  <c r="E381" i="3"/>
  <c r="F381" i="3"/>
  <c r="G381" i="3"/>
  <c r="H381" i="3"/>
  <c r="I381" i="3"/>
  <c r="J381" i="3"/>
  <c r="K381" i="3"/>
  <c r="L381" i="3"/>
  <c r="M381" i="3"/>
  <c r="N381" i="3"/>
  <c r="N370" i="3"/>
  <c r="M370" i="3"/>
  <c r="L370" i="3"/>
  <c r="K370" i="3"/>
  <c r="J370" i="3"/>
  <c r="I370" i="3"/>
  <c r="H370" i="3"/>
  <c r="G370" i="3"/>
  <c r="F370" i="3"/>
  <c r="E370" i="3"/>
  <c r="D370" i="3"/>
  <c r="D366" i="3"/>
  <c r="E366" i="3"/>
  <c r="F366" i="3"/>
  <c r="G366" i="3"/>
  <c r="H366" i="3"/>
  <c r="I366" i="3"/>
  <c r="J366" i="3"/>
  <c r="K366" i="3"/>
  <c r="L366" i="3"/>
  <c r="M366" i="3"/>
  <c r="N366" i="3"/>
  <c r="D315" i="3"/>
  <c r="E315" i="3"/>
  <c r="F315" i="3"/>
  <c r="G315" i="3"/>
  <c r="H315" i="3"/>
  <c r="I315" i="3"/>
  <c r="J315" i="3"/>
  <c r="K315" i="3"/>
  <c r="L315" i="3"/>
  <c r="M315" i="3"/>
  <c r="N315" i="3"/>
  <c r="D295" i="3"/>
  <c r="E295" i="3"/>
  <c r="F295" i="3"/>
  <c r="G295" i="3"/>
  <c r="H295" i="3"/>
  <c r="I295" i="3"/>
  <c r="J295" i="3"/>
  <c r="K295" i="3"/>
  <c r="L295" i="3"/>
  <c r="M295" i="3"/>
  <c r="N295" i="3"/>
  <c r="D264" i="3"/>
  <c r="E264" i="3"/>
  <c r="F264" i="3"/>
  <c r="G264" i="3"/>
  <c r="H264" i="3"/>
  <c r="I264" i="3"/>
  <c r="J264" i="3"/>
  <c r="K264" i="3"/>
  <c r="L264" i="3"/>
  <c r="M264" i="3"/>
  <c r="D247" i="3"/>
  <c r="E247" i="3"/>
  <c r="F247" i="3"/>
  <c r="G247" i="3"/>
  <c r="H247" i="3"/>
  <c r="I247" i="3"/>
  <c r="J247" i="3"/>
  <c r="K247" i="3"/>
  <c r="L247" i="3"/>
  <c r="M247" i="3"/>
  <c r="N247" i="3"/>
  <c r="N234" i="3"/>
  <c r="M234" i="3"/>
  <c r="L234" i="3"/>
  <c r="K234" i="3"/>
  <c r="J234" i="3"/>
  <c r="I234" i="3"/>
  <c r="H234" i="3"/>
  <c r="G234" i="3"/>
  <c r="F234" i="3"/>
  <c r="E234" i="3"/>
  <c r="D234" i="3"/>
  <c r="D228" i="3"/>
  <c r="E228" i="3"/>
  <c r="F228" i="3"/>
  <c r="G228" i="3"/>
  <c r="H228" i="3"/>
  <c r="I228" i="3"/>
  <c r="J228" i="3"/>
  <c r="K228" i="3"/>
  <c r="L228" i="3"/>
  <c r="M228" i="3"/>
  <c r="N228" i="3"/>
  <c r="N201" i="3"/>
  <c r="M201" i="3"/>
  <c r="L201" i="3"/>
  <c r="K201" i="3"/>
  <c r="J201" i="3"/>
  <c r="I201" i="3"/>
  <c r="H201" i="3"/>
  <c r="G201" i="3"/>
  <c r="F201" i="3"/>
  <c r="E201" i="3"/>
  <c r="D201" i="3"/>
  <c r="D195" i="3"/>
  <c r="E195" i="3"/>
  <c r="F195" i="3"/>
  <c r="G195" i="3"/>
  <c r="H195" i="3"/>
  <c r="I195" i="3"/>
  <c r="J195" i="3"/>
  <c r="K195" i="3"/>
  <c r="L195" i="3"/>
  <c r="M195" i="3"/>
  <c r="D136" i="3"/>
  <c r="D35" i="23" s="1"/>
  <c r="E136" i="3"/>
  <c r="E35" i="23" s="1"/>
  <c r="F136" i="3"/>
  <c r="F35" i="23" s="1"/>
  <c r="G136" i="3"/>
  <c r="G35" i="23" s="1"/>
  <c r="H136" i="3"/>
  <c r="H35" i="23" s="1"/>
  <c r="I136" i="3"/>
  <c r="I35" i="23" s="1"/>
  <c r="J136" i="3"/>
  <c r="J35" i="23" s="1"/>
  <c r="K136" i="3"/>
  <c r="K35" i="23" s="1"/>
  <c r="L136" i="3"/>
  <c r="L35" i="23" s="1"/>
  <c r="M136" i="3"/>
  <c r="M35" i="23" s="1"/>
  <c r="N136" i="3"/>
  <c r="N35" i="23" s="1"/>
  <c r="D71" i="3"/>
  <c r="D159" i="3" s="1"/>
  <c r="E71" i="3"/>
  <c r="F71" i="3"/>
  <c r="F159" i="3" s="1"/>
  <c r="G71" i="3"/>
  <c r="H71" i="3"/>
  <c r="I71" i="3"/>
  <c r="I159" i="3" s="1"/>
  <c r="J71" i="3"/>
  <c r="J159" i="3" s="1"/>
  <c r="K71" i="3"/>
  <c r="K159" i="3" s="1"/>
  <c r="L71" i="3"/>
  <c r="M71" i="3"/>
  <c r="M159" i="3" s="1"/>
  <c r="N71" i="3"/>
  <c r="N159" i="3" s="1"/>
  <c r="C1242" i="8"/>
  <c r="C1246" i="8" s="1"/>
  <c r="C1241" i="8"/>
  <c r="C1245" i="8" s="1"/>
  <c r="C1218" i="8"/>
  <c r="C1223" i="8" s="1"/>
  <c r="C1216" i="8"/>
  <c r="C1221" i="8" s="1"/>
  <c r="C1176" i="8"/>
  <c r="C1180" i="8" s="1"/>
  <c r="C1175" i="8"/>
  <c r="C1179" i="8" s="1"/>
  <c r="C1043" i="8"/>
  <c r="C1049" i="8" s="1"/>
  <c r="C1044" i="8"/>
  <c r="C1050" i="8" s="1"/>
  <c r="C1045" i="8"/>
  <c r="C1051" i="8" s="1"/>
  <c r="C1042" i="8"/>
  <c r="C1048" i="8" s="1"/>
  <c r="C1015" i="8"/>
  <c r="C1021" i="8" s="1"/>
  <c r="C1016" i="8"/>
  <c r="C1022" i="8" s="1"/>
  <c r="C1017" i="8"/>
  <c r="C1023" i="8" s="1"/>
  <c r="C1014" i="8"/>
  <c r="C1020" i="8" s="1"/>
  <c r="C973" i="8"/>
  <c r="C978" i="8" s="1"/>
  <c r="C971" i="8"/>
  <c r="C976" i="8" s="1"/>
  <c r="C946" i="8"/>
  <c r="C951" i="8" s="1"/>
  <c r="C944" i="8"/>
  <c r="C949" i="8" s="1"/>
  <c r="C899" i="8"/>
  <c r="C905" i="8" s="1"/>
  <c r="C900" i="8"/>
  <c r="C906" i="8" s="1"/>
  <c r="C901" i="8"/>
  <c r="C907" i="8" s="1"/>
  <c r="C898" i="8"/>
  <c r="C904" i="8" s="1"/>
  <c r="C854" i="8"/>
  <c r="C860" i="8" s="1"/>
  <c r="C855" i="8"/>
  <c r="C861" i="8" s="1"/>
  <c r="C856" i="8"/>
  <c r="C862" i="8" s="1"/>
  <c r="C853" i="8"/>
  <c r="C859" i="8" s="1"/>
  <c r="C707" i="8"/>
  <c r="C713" i="8" s="1"/>
  <c r="C708" i="8"/>
  <c r="C714" i="8" s="1"/>
  <c r="C709" i="8"/>
  <c r="C715" i="8" s="1"/>
  <c r="C706" i="8"/>
  <c r="C712" i="8" s="1"/>
  <c r="C657" i="8"/>
  <c r="C663" i="8" s="1"/>
  <c r="C658" i="8"/>
  <c r="C664" i="8" s="1"/>
  <c r="C659" i="8"/>
  <c r="C665" i="8" s="1"/>
  <c r="C656" i="8"/>
  <c r="C662" i="8" s="1"/>
  <c r="C600" i="8"/>
  <c r="C604" i="8" s="1"/>
  <c r="C599" i="8"/>
  <c r="C603" i="8" s="1"/>
  <c r="A754" i="8"/>
  <c r="A756" i="8" s="1"/>
  <c r="A757" i="8" s="1"/>
  <c r="A761" i="8" s="1"/>
  <c r="A762" i="8" s="1"/>
  <c r="D762" i="8"/>
  <c r="C759" i="8"/>
  <c r="C757" i="8"/>
  <c r="C762" i="8" s="1"/>
  <c r="D754" i="8"/>
  <c r="D753" i="8"/>
  <c r="A119" i="8"/>
  <c r="A409" i="3"/>
  <c r="A407" i="3"/>
  <c r="N360" i="3"/>
  <c r="O1156" i="8" s="1"/>
  <c r="M360" i="3"/>
  <c r="N1156" i="8" s="1"/>
  <c r="N319" i="8" s="1"/>
  <c r="L360" i="3"/>
  <c r="M1156" i="8" s="1"/>
  <c r="M319" i="8" s="1"/>
  <c r="K360" i="3"/>
  <c r="L1156" i="8" s="1"/>
  <c r="J360" i="3"/>
  <c r="K1156" i="8" s="1"/>
  <c r="K319" i="8" s="1"/>
  <c r="I360" i="3"/>
  <c r="J1156" i="8" s="1"/>
  <c r="H360" i="3"/>
  <c r="I1156" i="8" s="1"/>
  <c r="G360" i="3"/>
  <c r="H1156" i="8" s="1"/>
  <c r="F360" i="3"/>
  <c r="G1156" i="8" s="1"/>
  <c r="E360" i="3"/>
  <c r="F1156" i="8" s="1"/>
  <c r="F319" i="8" s="1"/>
  <c r="D355" i="3"/>
  <c r="F355" i="3"/>
  <c r="G1118" i="20" s="1"/>
  <c r="G308" i="20" s="1"/>
  <c r="H355" i="3"/>
  <c r="I355" i="3"/>
  <c r="K355" i="3"/>
  <c r="L1122" i="8" s="1"/>
  <c r="L355" i="3"/>
  <c r="M1122" i="8" s="1"/>
  <c r="M355" i="3"/>
  <c r="N1122" i="8" s="1"/>
  <c r="N312" i="8" s="1"/>
  <c r="N355" i="3"/>
  <c r="O1118" i="20" s="1"/>
  <c r="O308" i="20" s="1"/>
  <c r="H337" i="3"/>
  <c r="I1104" i="8" s="1"/>
  <c r="I337" i="3"/>
  <c r="J1100" i="20" s="1"/>
  <c r="J301" i="20" s="1"/>
  <c r="J337" i="3"/>
  <c r="K1100" i="20" s="1"/>
  <c r="K301" i="20" s="1"/>
  <c r="K337" i="3"/>
  <c r="L1104" i="8" s="1"/>
  <c r="L337" i="3"/>
  <c r="M337" i="3"/>
  <c r="N1104" i="8" s="1"/>
  <c r="N305" i="8" s="1"/>
  <c r="N332" i="3"/>
  <c r="O1086" i="8" s="1"/>
  <c r="M332" i="3"/>
  <c r="J332" i="3"/>
  <c r="I332" i="3"/>
  <c r="J1082" i="20" s="1"/>
  <c r="J294" i="20" s="1"/>
  <c r="F332" i="3"/>
  <c r="E332" i="3"/>
  <c r="F1086" i="8" s="1"/>
  <c r="L332" i="3"/>
  <c r="K332" i="3"/>
  <c r="H332" i="3"/>
  <c r="I1082" i="20" s="1"/>
  <c r="I294" i="20" s="1"/>
  <c r="G332" i="3"/>
  <c r="H1082" i="20" s="1"/>
  <c r="H294" i="20" s="1"/>
  <c r="D332" i="3"/>
  <c r="A341" i="3"/>
  <c r="A339" i="3"/>
  <c r="A61" i="3"/>
  <c r="F187" i="3"/>
  <c r="G827" i="8" s="1"/>
  <c r="G229" i="8" s="1"/>
  <c r="N187" i="3"/>
  <c r="A211" i="3"/>
  <c r="A209" i="3"/>
  <c r="G141" i="3"/>
  <c r="N141" i="3"/>
  <c r="N41" i="23" s="1"/>
  <c r="A111" i="3"/>
  <c r="A112" i="3" s="1"/>
  <c r="A113" i="3" s="1"/>
  <c r="A114" i="3" s="1"/>
  <c r="A115" i="3" s="1"/>
  <c r="A116" i="3" s="1"/>
  <c r="A118" i="3" s="1"/>
  <c r="A119" i="3" s="1"/>
  <c r="A120" i="3" s="1"/>
  <c r="A121" i="3" s="1"/>
  <c r="A122" i="3" s="1"/>
  <c r="A124" i="3" s="1"/>
  <c r="A125" i="3" s="1"/>
  <c r="A126" i="3" s="1"/>
  <c r="A127" i="3" s="1"/>
  <c r="A128" i="3" s="1"/>
  <c r="A129" i="3" s="1"/>
  <c r="A131" i="3" s="1"/>
  <c r="A132" i="3" s="1"/>
  <c r="A133" i="3" s="1"/>
  <c r="A100" i="3"/>
  <c r="A98" i="3"/>
  <c r="F93" i="3"/>
  <c r="G93" i="3"/>
  <c r="H93" i="3"/>
  <c r="I93" i="3"/>
  <c r="J657" i="8" s="1"/>
  <c r="K93" i="3"/>
  <c r="M93" i="3"/>
  <c r="N657" i="8" s="1"/>
  <c r="D76" i="3"/>
  <c r="F76" i="3"/>
  <c r="G621" i="8" s="1"/>
  <c r="G152" i="8" s="1"/>
  <c r="H76" i="3"/>
  <c r="I618" i="20" s="1"/>
  <c r="I76" i="3"/>
  <c r="J76" i="3"/>
  <c r="K621" i="8" s="1"/>
  <c r="K152" i="8" s="1"/>
  <c r="K76" i="3"/>
  <c r="L621" i="8" s="1"/>
  <c r="L76" i="3"/>
  <c r="M76" i="3"/>
  <c r="N76" i="3"/>
  <c r="O618" i="20" s="1"/>
  <c r="D52" i="3"/>
  <c r="E563" i="20" s="1"/>
  <c r="E135" i="20" s="1"/>
  <c r="F52" i="3"/>
  <c r="G52" i="3"/>
  <c r="H52" i="3"/>
  <c r="I565" i="8" s="1"/>
  <c r="I138" i="8" s="1"/>
  <c r="I52" i="3"/>
  <c r="J563" i="20" s="1"/>
  <c r="J135" i="20" s="1"/>
  <c r="J52" i="3"/>
  <c r="K52" i="3"/>
  <c r="L52" i="3"/>
  <c r="M563" i="20" s="1"/>
  <c r="M135" i="20" s="1"/>
  <c r="M52" i="3"/>
  <c r="N563" i="20" s="1"/>
  <c r="N135" i="20" s="1"/>
  <c r="N52" i="3"/>
  <c r="F47" i="3"/>
  <c r="G546" i="20" s="1"/>
  <c r="G128" i="20" s="1"/>
  <c r="G47" i="3"/>
  <c r="H548" i="8" s="1"/>
  <c r="I47" i="3"/>
  <c r="J47" i="3"/>
  <c r="K47" i="3"/>
  <c r="L546" i="20" s="1"/>
  <c r="L128" i="20" s="1"/>
  <c r="L47" i="3"/>
  <c r="M548" i="8" s="1"/>
  <c r="M131" i="8" s="1"/>
  <c r="M47" i="3"/>
  <c r="N47" i="3"/>
  <c r="O548" i="8" s="1"/>
  <c r="F42" i="3"/>
  <c r="G529" i="20" s="1"/>
  <c r="G42" i="3"/>
  <c r="H531" i="8" s="1"/>
  <c r="H42" i="3"/>
  <c r="I42" i="3"/>
  <c r="J531" i="8" s="1"/>
  <c r="J42" i="3"/>
  <c r="K531" i="8" s="1"/>
  <c r="L42" i="3"/>
  <c r="M529" i="20" s="1"/>
  <c r="M42" i="3"/>
  <c r="N42" i="3"/>
  <c r="O531" i="8" s="1"/>
  <c r="F37" i="3"/>
  <c r="G495" i="20" s="1"/>
  <c r="G94" i="20" s="1"/>
  <c r="G37" i="3"/>
  <c r="H495" i="20" s="1"/>
  <c r="H94" i="20" s="1"/>
  <c r="H37" i="3"/>
  <c r="J37" i="3"/>
  <c r="K497" i="8" s="1"/>
  <c r="K37" i="3"/>
  <c r="L37" i="3"/>
  <c r="N37" i="3"/>
  <c r="O497" i="8" s="1"/>
  <c r="O95" i="8" s="1"/>
  <c r="A56" i="3"/>
  <c r="A54" i="3"/>
  <c r="D32" i="3"/>
  <c r="E478" i="20" s="1"/>
  <c r="E87" i="20" s="1"/>
  <c r="H32" i="3"/>
  <c r="I480" i="8" s="1"/>
  <c r="I88" i="8" s="1"/>
  <c r="I32" i="3"/>
  <c r="K32" i="3"/>
  <c r="L32" i="3"/>
  <c r="M480" i="8" s="1"/>
  <c r="D27" i="3"/>
  <c r="E461" i="20" s="1"/>
  <c r="E80" i="20" s="1"/>
  <c r="E27" i="3"/>
  <c r="E47" i="23" s="1"/>
  <c r="G27" i="3"/>
  <c r="G47" i="23" s="1"/>
  <c r="K27" i="3"/>
  <c r="K47" i="23" s="1"/>
  <c r="M27" i="3"/>
  <c r="N463" i="8" s="1"/>
  <c r="N27" i="3"/>
  <c r="D22" i="3"/>
  <c r="E426" i="20" s="1"/>
  <c r="H22" i="3"/>
  <c r="I426" i="20" s="1"/>
  <c r="I73" i="20" s="1"/>
  <c r="J22" i="3"/>
  <c r="K22" i="3"/>
  <c r="L22" i="3"/>
  <c r="M429" i="8" s="1"/>
  <c r="M74" i="8" s="1"/>
  <c r="M22" i="3"/>
  <c r="N426" i="20" s="1"/>
  <c r="A15" i="3"/>
  <c r="A16" i="3" s="1"/>
  <c r="A17" i="3" s="1"/>
  <c r="A19" i="3" s="1"/>
  <c r="A20" i="3" s="1"/>
  <c r="A21" i="3" s="1"/>
  <c r="A22" i="3" s="1"/>
  <c r="A24" i="3" s="1"/>
  <c r="A25" i="3" s="1"/>
  <c r="A26" i="3" s="1"/>
  <c r="A27" i="3" s="1"/>
  <c r="A29" i="3" s="1"/>
  <c r="A30" i="3" s="1"/>
  <c r="A31" i="3" s="1"/>
  <c r="A32" i="3" s="1"/>
  <c r="A35" i="3" s="1"/>
  <c r="A36" i="3" s="1"/>
  <c r="A37" i="3" s="1"/>
  <c r="A39" i="3" s="1"/>
  <c r="A40" i="3" s="1"/>
  <c r="A41" i="3" s="1"/>
  <c r="A42" i="3" s="1"/>
  <c r="A44" i="3" s="1"/>
  <c r="A45" i="3" s="1"/>
  <c r="A46" i="3" s="1"/>
  <c r="A47" i="3" s="1"/>
  <c r="A49" i="3" s="1"/>
  <c r="A50" i="3" s="1"/>
  <c r="A51" i="3" s="1"/>
  <c r="A52" i="3" s="1"/>
  <c r="E29" i="8"/>
  <c r="F29" i="8"/>
  <c r="G29" i="8"/>
  <c r="H29" i="8"/>
  <c r="I29" i="8"/>
  <c r="J29" i="8"/>
  <c r="K29" i="8"/>
  <c r="L29" i="8"/>
  <c r="M29" i="8"/>
  <c r="N29" i="8"/>
  <c r="O29" i="8"/>
  <c r="E30" i="8"/>
  <c r="F30" i="8"/>
  <c r="G30" i="8"/>
  <c r="H30" i="8"/>
  <c r="I30" i="8"/>
  <c r="J30" i="8"/>
  <c r="K30" i="8"/>
  <c r="L30" i="8"/>
  <c r="M30" i="8"/>
  <c r="N30" i="8"/>
  <c r="O30" i="8"/>
  <c r="E32" i="8"/>
  <c r="F32" i="8"/>
  <c r="G32" i="8"/>
  <c r="H32" i="8"/>
  <c r="I32" i="8"/>
  <c r="J32" i="8"/>
  <c r="K32" i="8"/>
  <c r="L32" i="8"/>
  <c r="M32" i="8"/>
  <c r="N32" i="8"/>
  <c r="O32" i="8"/>
  <c r="E33" i="8"/>
  <c r="F33" i="8"/>
  <c r="G33" i="8"/>
  <c r="H33" i="8"/>
  <c r="I33" i="8"/>
  <c r="J33" i="8"/>
  <c r="K33" i="8"/>
  <c r="L33" i="8"/>
  <c r="M33" i="8"/>
  <c r="N33" i="8"/>
  <c r="O33" i="8"/>
  <c r="A18" i="8"/>
  <c r="A19" i="8" s="1"/>
  <c r="A20" i="8" s="1"/>
  <c r="A21" i="8" s="1"/>
  <c r="A23" i="8" s="1"/>
  <c r="A25" i="8" s="1"/>
  <c r="A22" i="8" s="1"/>
  <c r="A26" i="8" s="1"/>
  <c r="A27" i="8" s="1"/>
  <c r="A28" i="8" s="1"/>
  <c r="A29" i="8" s="1"/>
  <c r="A30" i="8" s="1"/>
  <c r="A31" i="8" s="1"/>
  <c r="A32" i="8" s="1"/>
  <c r="A33" i="8" s="1"/>
  <c r="A34" i="8" s="1"/>
  <c r="A36" i="8" s="1"/>
  <c r="E375" i="8"/>
  <c r="F375" i="8"/>
  <c r="D25" i="22" s="1"/>
  <c r="G375" i="8"/>
  <c r="E25" i="22" s="1"/>
  <c r="H375" i="8"/>
  <c r="F25" i="22" s="1"/>
  <c r="I375" i="8"/>
  <c r="G25" i="22" s="1"/>
  <c r="J375" i="8"/>
  <c r="H25" i="22" s="1"/>
  <c r="K375" i="8"/>
  <c r="I25" i="22" s="1"/>
  <c r="L375" i="8"/>
  <c r="J25" i="22" s="1"/>
  <c r="M375" i="8"/>
  <c r="K25" i="22" s="1"/>
  <c r="N375" i="8"/>
  <c r="L25" i="22" s="1"/>
  <c r="O375" i="8"/>
  <c r="M25" i="22" s="1"/>
  <c r="E355" i="8"/>
  <c r="F355" i="8"/>
  <c r="G355" i="8"/>
  <c r="H355" i="8"/>
  <c r="I355" i="8"/>
  <c r="J355" i="8"/>
  <c r="K355" i="8"/>
  <c r="L355" i="8"/>
  <c r="M355" i="8"/>
  <c r="N355" i="8"/>
  <c r="O355" i="8"/>
  <c r="E328" i="8"/>
  <c r="F328" i="8"/>
  <c r="G328" i="8"/>
  <c r="H328" i="8"/>
  <c r="I328" i="8"/>
  <c r="J328" i="8"/>
  <c r="K328" i="8"/>
  <c r="L328" i="8"/>
  <c r="M328" i="8"/>
  <c r="N328" i="8"/>
  <c r="O328" i="8"/>
  <c r="E321" i="8"/>
  <c r="F321" i="8"/>
  <c r="G321" i="8"/>
  <c r="H321" i="8"/>
  <c r="I321" i="8"/>
  <c r="J321" i="8"/>
  <c r="K321" i="8"/>
  <c r="L321" i="8"/>
  <c r="M321" i="8"/>
  <c r="N321" i="8"/>
  <c r="O321" i="8"/>
  <c r="E314" i="8"/>
  <c r="F314" i="8"/>
  <c r="G314" i="8"/>
  <c r="H314" i="8"/>
  <c r="I314" i="8"/>
  <c r="J314" i="8"/>
  <c r="K314" i="8"/>
  <c r="L314" i="8"/>
  <c r="M314" i="8"/>
  <c r="N314" i="8"/>
  <c r="O314" i="8"/>
  <c r="E307" i="8"/>
  <c r="F307" i="8"/>
  <c r="G307" i="8"/>
  <c r="H307" i="8"/>
  <c r="I307" i="8"/>
  <c r="J307" i="8"/>
  <c r="K307" i="8"/>
  <c r="L307" i="8"/>
  <c r="M307" i="8"/>
  <c r="N307" i="8"/>
  <c r="O307" i="8"/>
  <c r="E300" i="8"/>
  <c r="F300" i="8"/>
  <c r="G300" i="8"/>
  <c r="H300" i="8"/>
  <c r="I300" i="8"/>
  <c r="J300" i="8"/>
  <c r="K300" i="8"/>
  <c r="L300" i="8"/>
  <c r="M300" i="8"/>
  <c r="N300" i="8"/>
  <c r="O300" i="8"/>
  <c r="E293" i="8"/>
  <c r="F293" i="8"/>
  <c r="G293" i="8"/>
  <c r="H293" i="8"/>
  <c r="I293" i="8"/>
  <c r="J293" i="8"/>
  <c r="K293" i="8"/>
  <c r="L293" i="8"/>
  <c r="M293" i="8"/>
  <c r="N293" i="8"/>
  <c r="O293" i="8"/>
  <c r="E266" i="8"/>
  <c r="F266" i="8"/>
  <c r="G266" i="8"/>
  <c r="H266" i="8"/>
  <c r="I266" i="8"/>
  <c r="J266" i="8"/>
  <c r="K266" i="8"/>
  <c r="L266" i="8"/>
  <c r="M266" i="8"/>
  <c r="N266" i="8"/>
  <c r="O266" i="8"/>
  <c r="E259" i="8"/>
  <c r="F259" i="8"/>
  <c r="G259" i="8"/>
  <c r="H259" i="8"/>
  <c r="I259" i="8"/>
  <c r="J259" i="8"/>
  <c r="K259" i="8"/>
  <c r="L259" i="8"/>
  <c r="M259" i="8"/>
  <c r="N259" i="8"/>
  <c r="O259" i="8"/>
  <c r="E252" i="8"/>
  <c r="F252" i="8"/>
  <c r="G252" i="8"/>
  <c r="H252" i="8"/>
  <c r="I252" i="8"/>
  <c r="J252" i="8"/>
  <c r="K252" i="8"/>
  <c r="L252" i="8"/>
  <c r="M252" i="8"/>
  <c r="N252" i="8"/>
  <c r="O252" i="8"/>
  <c r="E245" i="8"/>
  <c r="F245" i="8"/>
  <c r="G245" i="8"/>
  <c r="H245" i="8"/>
  <c r="I245" i="8"/>
  <c r="J245" i="8"/>
  <c r="K245" i="8"/>
  <c r="L245" i="8"/>
  <c r="M245" i="8"/>
  <c r="N245" i="8"/>
  <c r="O245" i="8"/>
  <c r="E238" i="8"/>
  <c r="F238" i="8"/>
  <c r="G238" i="8"/>
  <c r="H238" i="8"/>
  <c r="I238" i="8"/>
  <c r="J238" i="8"/>
  <c r="K238" i="8"/>
  <c r="L238" i="8"/>
  <c r="M238" i="8"/>
  <c r="N238" i="8"/>
  <c r="O238" i="8"/>
  <c r="E231" i="8"/>
  <c r="F231" i="8"/>
  <c r="G231" i="8"/>
  <c r="H231" i="8"/>
  <c r="I231" i="8"/>
  <c r="J231" i="8"/>
  <c r="K231" i="8"/>
  <c r="L231" i="8"/>
  <c r="M231" i="8"/>
  <c r="N231" i="8"/>
  <c r="O231" i="8"/>
  <c r="A227" i="8"/>
  <c r="A228" i="8" s="1"/>
  <c r="A229" i="8" s="1"/>
  <c r="A230" i="8" s="1"/>
  <c r="A231" i="8" s="1"/>
  <c r="A232" i="8" s="1"/>
  <c r="A234" i="8" s="1"/>
  <c r="A235" i="8" s="1"/>
  <c r="A236" i="8" s="1"/>
  <c r="A237" i="8" s="1"/>
  <c r="A238" i="8" s="1"/>
  <c r="A239" i="8" s="1"/>
  <c r="A241" i="8" s="1"/>
  <c r="A242" i="8" s="1"/>
  <c r="A243" i="8" s="1"/>
  <c r="A244" i="8" s="1"/>
  <c r="A245" i="8" s="1"/>
  <c r="A246" i="8" s="1"/>
  <c r="A248" i="8" s="1"/>
  <c r="A249" i="8" s="1"/>
  <c r="A250" i="8" s="1"/>
  <c r="A251" i="8" s="1"/>
  <c r="A252" i="8" s="1"/>
  <c r="A253" i="8" s="1"/>
  <c r="A255" i="8" s="1"/>
  <c r="A256" i="8" s="1"/>
  <c r="A257" i="8" s="1"/>
  <c r="A258" i="8" s="1"/>
  <c r="A259" i="8" s="1"/>
  <c r="A260" i="8" s="1"/>
  <c r="A262" i="8" s="1"/>
  <c r="A263" i="8" s="1"/>
  <c r="A264" i="8" s="1"/>
  <c r="A265" i="8" s="1"/>
  <c r="A266" i="8" s="1"/>
  <c r="A267" i="8" s="1"/>
  <c r="A290" i="8" s="1"/>
  <c r="A291" i="8" s="1"/>
  <c r="A292" i="8" s="1"/>
  <c r="A293" i="8" s="1"/>
  <c r="A294" i="8" s="1"/>
  <c r="A296" i="8" s="1"/>
  <c r="A297" i="8" s="1"/>
  <c r="A298" i="8" s="1"/>
  <c r="A299" i="8" s="1"/>
  <c r="A300" i="8" s="1"/>
  <c r="A301" i="8" s="1"/>
  <c r="A212" i="8"/>
  <c r="A210" i="8"/>
  <c r="A209" i="8"/>
  <c r="E154" i="8"/>
  <c r="F154" i="8"/>
  <c r="G154" i="8"/>
  <c r="H154" i="8"/>
  <c r="I154" i="8"/>
  <c r="J154" i="8"/>
  <c r="K154" i="8"/>
  <c r="L154" i="8"/>
  <c r="M154" i="8"/>
  <c r="N154" i="8"/>
  <c r="O154" i="8"/>
  <c r="E147" i="8"/>
  <c r="F147" i="8"/>
  <c r="G147" i="8"/>
  <c r="H147" i="8"/>
  <c r="I147" i="8"/>
  <c r="J147" i="8"/>
  <c r="K147" i="8"/>
  <c r="L147" i="8"/>
  <c r="M147" i="8"/>
  <c r="N147" i="8"/>
  <c r="O147" i="8"/>
  <c r="E140" i="8"/>
  <c r="F140" i="8"/>
  <c r="G140" i="8"/>
  <c r="H140" i="8"/>
  <c r="I140" i="8"/>
  <c r="J140" i="8"/>
  <c r="K140" i="8"/>
  <c r="L140" i="8"/>
  <c r="M140" i="8"/>
  <c r="N140" i="8"/>
  <c r="O140" i="8"/>
  <c r="A114" i="8"/>
  <c r="A112" i="8"/>
  <c r="A111" i="8"/>
  <c r="E133" i="8"/>
  <c r="F133" i="8"/>
  <c r="G133" i="8"/>
  <c r="H133" i="8"/>
  <c r="I133" i="8"/>
  <c r="J133" i="8"/>
  <c r="K133" i="8"/>
  <c r="L133" i="8"/>
  <c r="M133" i="8"/>
  <c r="N133" i="8"/>
  <c r="O133" i="8"/>
  <c r="E104" i="8"/>
  <c r="F104" i="8"/>
  <c r="G104" i="8"/>
  <c r="H104" i="8"/>
  <c r="I104" i="8"/>
  <c r="J104" i="8"/>
  <c r="K104" i="8"/>
  <c r="L104" i="8"/>
  <c r="M104" i="8"/>
  <c r="N104" i="8"/>
  <c r="O104" i="8"/>
  <c r="E90" i="8"/>
  <c r="F90" i="8"/>
  <c r="G90" i="8"/>
  <c r="H90" i="8"/>
  <c r="I90" i="8"/>
  <c r="J90" i="8"/>
  <c r="K90" i="8"/>
  <c r="L90" i="8"/>
  <c r="M90" i="8"/>
  <c r="N90" i="8"/>
  <c r="O90" i="8"/>
  <c r="A803" i="8"/>
  <c r="A681" i="8"/>
  <c r="A699" i="8"/>
  <c r="A701" i="8" s="1"/>
  <c r="A702" i="8" s="1"/>
  <c r="A703" i="8" s="1"/>
  <c r="A705" i="8" s="1"/>
  <c r="A706" i="8" s="1"/>
  <c r="A707" i="8" s="1"/>
  <c r="A708" i="8" s="1"/>
  <c r="A709" i="8" s="1"/>
  <c r="A711" i="8" s="1"/>
  <c r="A712" i="8" s="1"/>
  <c r="A713" i="8" s="1"/>
  <c r="A714" i="8" s="1"/>
  <c r="A715" i="8" s="1"/>
  <c r="A718" i="8" s="1"/>
  <c r="A720" i="8" s="1"/>
  <c r="A722" i="8" s="1"/>
  <c r="A724" i="8" s="1"/>
  <c r="A725" i="8" s="1"/>
  <c r="A727" i="8" s="1"/>
  <c r="A731" i="8"/>
  <c r="A526" i="8"/>
  <c r="A528" i="8" s="1"/>
  <c r="A529" i="8" s="1"/>
  <c r="A531" i="8" s="1"/>
  <c r="A532" i="8" s="1"/>
  <c r="A534" i="8" s="1"/>
  <c r="A536" i="8" s="1"/>
  <c r="A538" i="8" s="1"/>
  <c r="A541" i="8" s="1"/>
  <c r="A543" i="8" s="1"/>
  <c r="A545" i="8" s="1"/>
  <c r="A546" i="8" s="1"/>
  <c r="A548" i="8" s="1"/>
  <c r="A549" i="8" s="1"/>
  <c r="A551" i="8" s="1"/>
  <c r="A553" i="8" s="1"/>
  <c r="A555" i="8" s="1"/>
  <c r="A558" i="8" s="1"/>
  <c r="A560" i="8" s="1"/>
  <c r="A562" i="8" s="1"/>
  <c r="A563" i="8" s="1"/>
  <c r="A565" i="8" s="1"/>
  <c r="A566" i="8" s="1"/>
  <c r="A568" i="8" s="1"/>
  <c r="A570" i="8" s="1"/>
  <c r="A572" i="8" s="1"/>
  <c r="A593" i="8" s="1"/>
  <c r="A595" i="8" s="1"/>
  <c r="A596" i="8" s="1"/>
  <c r="A598" i="8" s="1"/>
  <c r="A599" i="8" s="1"/>
  <c r="A600" i="8" s="1"/>
  <c r="A602" i="8" s="1"/>
  <c r="A603" i="8" s="1"/>
  <c r="A604" i="8" s="1"/>
  <c r="A607" i="8" s="1"/>
  <c r="A609" i="8" s="1"/>
  <c r="A611" i="8" s="1"/>
  <c r="A614" i="8" s="1"/>
  <c r="D415" i="8"/>
  <c r="A508" i="8"/>
  <c r="A440" i="8"/>
  <c r="A398" i="8"/>
  <c r="A400" i="8" s="1"/>
  <c r="A401" i="8" s="1"/>
  <c r="A402" i="8" s="1"/>
  <c r="A404" i="8" s="1"/>
  <c r="A405" i="8" s="1"/>
  <c r="A407" i="8" s="1"/>
  <c r="A409" i="8" s="1"/>
  <c r="A411" i="8" s="1"/>
  <c r="A413" i="8" s="1"/>
  <c r="A414" i="8" s="1"/>
  <c r="A415" i="8" s="1"/>
  <c r="A416" i="8" s="1"/>
  <c r="A417" i="8" s="1"/>
  <c r="A419" i="8" s="1"/>
  <c r="A422" i="8" s="1"/>
  <c r="A424" i="8" s="1"/>
  <c r="A426" i="8" s="1"/>
  <c r="A427" i="8" s="1"/>
  <c r="A429" i="8" s="1"/>
  <c r="A430" i="8" s="1"/>
  <c r="A432" i="8" s="1"/>
  <c r="A434" i="8" s="1"/>
  <c r="A436" i="8" s="1"/>
  <c r="D652" i="8"/>
  <c r="J210" i="26" s="1"/>
  <c r="C16" i="27" s="1"/>
  <c r="D662" i="8"/>
  <c r="D663" i="8"/>
  <c r="D664" i="8"/>
  <c r="D665" i="8"/>
  <c r="D653" i="8"/>
  <c r="J212" i="26" s="1"/>
  <c r="D675" i="8"/>
  <c r="D1213" i="8"/>
  <c r="D1039" i="8"/>
  <c r="D1011" i="8"/>
  <c r="D968" i="8"/>
  <c r="J241" i="26" s="1"/>
  <c r="D941" i="8"/>
  <c r="D895" i="8"/>
  <c r="D850" i="8"/>
  <c r="D825" i="8"/>
  <c r="D837" i="8"/>
  <c r="D785" i="8"/>
  <c r="J268" i="26" s="1"/>
  <c r="D703" i="8"/>
  <c r="D402" i="8"/>
  <c r="D784" i="8"/>
  <c r="J267" i="26" s="1"/>
  <c r="C30" i="27" s="1"/>
  <c r="D788" i="8"/>
  <c r="J271" i="26" s="1"/>
  <c r="C31" i="27" s="1"/>
  <c r="D939" i="8"/>
  <c r="D940" i="8"/>
  <c r="D949" i="8"/>
  <c r="J244" i="26" s="1"/>
  <c r="C24" i="27" s="1"/>
  <c r="J246" i="26"/>
  <c r="C26" i="27" s="1"/>
  <c r="D966" i="8"/>
  <c r="J239" i="26" s="1"/>
  <c r="C23" i="27" s="1"/>
  <c r="D967" i="8"/>
  <c r="J240" i="26" s="1"/>
  <c r="D976" i="8"/>
  <c r="D1211" i="8"/>
  <c r="D1212" i="8"/>
  <c r="D1221" i="8"/>
  <c r="D401" i="8"/>
  <c r="I187" i="26" s="1"/>
  <c r="D405" i="8"/>
  <c r="I191" i="26" s="1"/>
  <c r="C13" i="27" s="1"/>
  <c r="D416" i="8"/>
  <c r="D824" i="8"/>
  <c r="D828" i="8"/>
  <c r="D838" i="8"/>
  <c r="D702" i="8"/>
  <c r="D712" i="8"/>
  <c r="D713" i="8"/>
  <c r="D714" i="8"/>
  <c r="D715" i="8"/>
  <c r="D725" i="8"/>
  <c r="D849" i="8"/>
  <c r="D859" i="8"/>
  <c r="D860" i="8"/>
  <c r="D861" i="8"/>
  <c r="D862" i="8"/>
  <c r="D894" i="8"/>
  <c r="D904" i="8"/>
  <c r="J215" i="26" s="1"/>
  <c r="C17" i="27" s="1"/>
  <c r="D905" i="8"/>
  <c r="J216" i="26" s="1"/>
  <c r="C18" i="27" s="1"/>
  <c r="D906" i="8"/>
  <c r="J217" i="26" s="1"/>
  <c r="C19" i="27" s="1"/>
  <c r="D907" i="8"/>
  <c r="J218" i="26" s="1"/>
  <c r="C20" i="27" s="1"/>
  <c r="D1009" i="8"/>
  <c r="D1010" i="8"/>
  <c r="J211" i="26" s="1"/>
  <c r="D1020" i="8"/>
  <c r="D1021" i="8"/>
  <c r="D1022" i="8"/>
  <c r="D1023" i="8"/>
  <c r="D1037" i="8"/>
  <c r="D1038" i="8"/>
  <c r="D1048" i="8"/>
  <c r="D1049" i="8"/>
  <c r="D1050" i="8"/>
  <c r="D1051" i="8"/>
  <c r="D1083" i="8"/>
  <c r="J282" i="26" s="1"/>
  <c r="C34" i="27" s="1"/>
  <c r="D1084" i="8"/>
  <c r="J283" i="26" s="1"/>
  <c r="D1087" i="8"/>
  <c r="J286" i="26" s="1"/>
  <c r="C35" i="27" s="1"/>
  <c r="A13" i="19"/>
  <c r="A15" i="19"/>
  <c r="A17" i="19" s="1"/>
  <c r="A18" i="19" s="1"/>
  <c r="A19" i="19" s="1"/>
  <c r="A20" i="19" s="1"/>
  <c r="A6" i="19"/>
  <c r="A4" i="19"/>
  <c r="D1080" i="20"/>
  <c r="A15" i="15"/>
  <c r="A17" i="15" s="1"/>
  <c r="A18" i="15" s="1"/>
  <c r="A19" i="15" s="1"/>
  <c r="A20" i="15" s="1"/>
  <c r="A22" i="15" s="1"/>
  <c r="A23" i="15" s="1"/>
  <c r="D563" i="8"/>
  <c r="D566" i="8"/>
  <c r="D718" i="20"/>
  <c r="D1101" i="8"/>
  <c r="D1102" i="8"/>
  <c r="D1105" i="8"/>
  <c r="D1119" i="8"/>
  <c r="D1120" i="8"/>
  <c r="D1123" i="8"/>
  <c r="D1153" i="8"/>
  <c r="D1154" i="8"/>
  <c r="D1157" i="8"/>
  <c r="D1171" i="8"/>
  <c r="D1172" i="8"/>
  <c r="D1179" i="8"/>
  <c r="D1180" i="8"/>
  <c r="D1237" i="8"/>
  <c r="D1238" i="8"/>
  <c r="D1245" i="8"/>
  <c r="D1246" i="8"/>
  <c r="A1006" i="8"/>
  <c r="A1008" i="8" s="1"/>
  <c r="A1009" i="8" s="1"/>
  <c r="A1010" i="8" s="1"/>
  <c r="A1011" i="8" s="1"/>
  <c r="A1013" i="8" s="1"/>
  <c r="A1014" i="8" s="1"/>
  <c r="A1015" i="8" s="1"/>
  <c r="A1016" i="8" s="1"/>
  <c r="A1017" i="8" s="1"/>
  <c r="A1019" i="8" s="1"/>
  <c r="A1020" i="8" s="1"/>
  <c r="A1021" i="8" s="1"/>
  <c r="A1022" i="8" s="1"/>
  <c r="A1023" i="8" s="1"/>
  <c r="A1026" i="8" s="1"/>
  <c r="A1028" i="8" s="1"/>
  <c r="A1030" i="8" s="1"/>
  <c r="A1032" i="8" s="1"/>
  <c r="A1034" i="8" s="1"/>
  <c r="A1036" i="8" s="1"/>
  <c r="A1037" i="8" s="1"/>
  <c r="A1038" i="8" s="1"/>
  <c r="A1039" i="8" s="1"/>
  <c r="A1041" i="8" s="1"/>
  <c r="A1042" i="8" s="1"/>
  <c r="A1043" i="8" s="1"/>
  <c r="A1044" i="8" s="1"/>
  <c r="A1045" i="8" s="1"/>
  <c r="A1047" i="8" s="1"/>
  <c r="A1048" i="8" s="1"/>
  <c r="A1049" i="8" s="1"/>
  <c r="A1050" i="8" s="1"/>
  <c r="A1051" i="8" s="1"/>
  <c r="A1054" i="8" s="1"/>
  <c r="A1056" i="8" s="1"/>
  <c r="A1058" i="8" s="1"/>
  <c r="A821" i="8"/>
  <c r="A823" i="8" s="1"/>
  <c r="A824" i="8" s="1"/>
  <c r="A825" i="8" s="1"/>
  <c r="A827" i="8" s="1"/>
  <c r="A828" i="8" s="1"/>
  <c r="A830" i="8" s="1"/>
  <c r="A832" i="8" s="1"/>
  <c r="A834" i="8" s="1"/>
  <c r="A836" i="8" s="1"/>
  <c r="A837" i="8" s="1"/>
  <c r="A838" i="8" s="1"/>
  <c r="A839" i="8" s="1"/>
  <c r="A841" i="8" s="1"/>
  <c r="A65" i="8"/>
  <c r="A66" i="8" s="1"/>
  <c r="A67" i="8" s="1"/>
  <c r="A68" i="8" s="1"/>
  <c r="A69" i="8" s="1"/>
  <c r="A70" i="8" s="1"/>
  <c r="A72" i="8" s="1"/>
  <c r="A73" i="8" s="1"/>
  <c r="A74" i="8" s="1"/>
  <c r="A75" i="8" s="1"/>
  <c r="A76" i="8" s="1"/>
  <c r="A77" i="8" s="1"/>
  <c r="A79" i="8" s="1"/>
  <c r="A80" i="8" s="1"/>
  <c r="A81" i="8" s="1"/>
  <c r="A82" i="8" s="1"/>
  <c r="A83" i="8" s="1"/>
  <c r="A84" i="8" s="1"/>
  <c r="A86" i="8" s="1"/>
  <c r="A87" i="8" s="1"/>
  <c r="A88" i="8" s="1"/>
  <c r="A89" i="8" s="1"/>
  <c r="A90" i="8" s="1"/>
  <c r="A91" i="8" s="1"/>
  <c r="A649" i="8"/>
  <c r="A651" i="8" s="1"/>
  <c r="A652" i="8" s="1"/>
  <c r="A653" i="8" s="1"/>
  <c r="A655" i="8" s="1"/>
  <c r="A656" i="8" s="1"/>
  <c r="A657" i="8" s="1"/>
  <c r="A658" i="8" s="1"/>
  <c r="A659" i="8" s="1"/>
  <c r="A661" i="8" s="1"/>
  <c r="A662" i="8" s="1"/>
  <c r="A663" i="8" s="1"/>
  <c r="A664" i="8" s="1"/>
  <c r="A665" i="8" s="1"/>
  <c r="A668" i="8" s="1"/>
  <c r="A670" i="8" s="1"/>
  <c r="A672" i="8" s="1"/>
  <c r="A674" i="8" s="1"/>
  <c r="A675" i="8" s="1"/>
  <c r="A677" i="8" s="1"/>
  <c r="A1208" i="8"/>
  <c r="A1210" i="8" s="1"/>
  <c r="A1211" i="8" s="1"/>
  <c r="A1212" i="8" s="1"/>
  <c r="A1213" i="8" s="1"/>
  <c r="A1215" i="8" s="1"/>
  <c r="A1216" i="8" s="1"/>
  <c r="A1220" i="8" s="1"/>
  <c r="A1221" i="8" s="1"/>
  <c r="A1226" i="8" s="1"/>
  <c r="A1228" i="8" s="1"/>
  <c r="A1230" i="8" s="1"/>
  <c r="A1232" i="8" s="1"/>
  <c r="A1234" i="8" s="1"/>
  <c r="A1236" i="8" s="1"/>
  <c r="A1237" i="8" s="1"/>
  <c r="A1238" i="8" s="1"/>
  <c r="A1240" i="8" s="1"/>
  <c r="A1241" i="8" s="1"/>
  <c r="A1242" i="8" s="1"/>
  <c r="A1244" i="8" s="1"/>
  <c r="A1245" i="8" s="1"/>
  <c r="A1246" i="8" s="1"/>
  <c r="A1249" i="8" s="1"/>
  <c r="A1251" i="8" s="1"/>
  <c r="A1253" i="8" s="1"/>
  <c r="A1150" i="8"/>
  <c r="A1152" i="8" s="1"/>
  <c r="A1153" i="8" s="1"/>
  <c r="A1154" i="8" s="1"/>
  <c r="A1156" i="8" s="1"/>
  <c r="A1157" i="8" s="1"/>
  <c r="A1159" i="8" s="1"/>
  <c r="A1161" i="8" s="1"/>
  <c r="A1163" i="8" s="1"/>
  <c r="A1166" i="8" s="1"/>
  <c r="A1168" i="8" s="1"/>
  <c r="A1170" i="8" s="1"/>
  <c r="A1171" i="8" s="1"/>
  <c r="A1172" i="8" s="1"/>
  <c r="A1174" i="8" s="1"/>
  <c r="A1175" i="8" s="1"/>
  <c r="A1176" i="8" s="1"/>
  <c r="A1178" i="8" s="1"/>
  <c r="A1179" i="8" s="1"/>
  <c r="A1180" i="8" s="1"/>
  <c r="A1183" i="8" s="1"/>
  <c r="A1185" i="8" s="1"/>
  <c r="A1187" i="8" s="1"/>
  <c r="A1080" i="8"/>
  <c r="A1082" i="8" s="1"/>
  <c r="A1083" i="8" s="1"/>
  <c r="A1084" i="8" s="1"/>
  <c r="A1086" i="8" s="1"/>
  <c r="A1087" i="8" s="1"/>
  <c r="A1089" i="8" s="1"/>
  <c r="A1091" i="8" s="1"/>
  <c r="A1093" i="8" s="1"/>
  <c r="A1096" i="8" s="1"/>
  <c r="A1098" i="8" s="1"/>
  <c r="A1100" i="8" s="1"/>
  <c r="A1101" i="8" s="1"/>
  <c r="A1102" i="8" s="1"/>
  <c r="A1104" i="8" s="1"/>
  <c r="A1105" i="8" s="1"/>
  <c r="A1107" i="8" s="1"/>
  <c r="A1109" i="8" s="1"/>
  <c r="A1111" i="8" s="1"/>
  <c r="A1114" i="8" s="1"/>
  <c r="A1116" i="8" s="1"/>
  <c r="A1118" i="8" s="1"/>
  <c r="A1119" i="8" s="1"/>
  <c r="A1120" i="8" s="1"/>
  <c r="A1122" i="8" s="1"/>
  <c r="A1123" i="8" s="1"/>
  <c r="A1125" i="8" s="1"/>
  <c r="A1127" i="8" s="1"/>
  <c r="A1129" i="8" s="1"/>
  <c r="D532" i="8"/>
  <c r="D498" i="8"/>
  <c r="D481" i="8"/>
  <c r="A19" i="14"/>
  <c r="A20" i="14" s="1"/>
  <c r="A21" i="14" s="1"/>
  <c r="A22" i="14" s="1"/>
  <c r="A1" i="3"/>
  <c r="A3" i="3"/>
  <c r="A1" i="5"/>
  <c r="A3" i="5"/>
  <c r="A1" i="15"/>
  <c r="A3" i="15"/>
  <c r="AD86" i="1"/>
  <c r="A4" i="14"/>
  <c r="J10" i="14"/>
  <c r="A2" i="14"/>
  <c r="A2" i="22" s="1"/>
  <c r="A50" i="22" s="1"/>
  <c r="A1" i="14"/>
  <c r="D622" i="8"/>
  <c r="D619" i="8"/>
  <c r="D604" i="8"/>
  <c r="D603" i="8"/>
  <c r="D596" i="8"/>
  <c r="D549" i="8"/>
  <c r="D546" i="8"/>
  <c r="D529" i="8"/>
  <c r="D495" i="8"/>
  <c r="D478" i="8"/>
  <c r="D464" i="8"/>
  <c r="D461" i="8"/>
  <c r="D430" i="8"/>
  <c r="D427" i="8"/>
  <c r="A632" i="8"/>
  <c r="A633" i="8"/>
  <c r="A1194" i="8"/>
  <c r="A1192" i="8"/>
  <c r="A1191" i="8"/>
  <c r="A1136" i="8"/>
  <c r="A1134" i="8"/>
  <c r="A1133" i="8"/>
  <c r="A1066" i="8"/>
  <c r="A1064" i="8"/>
  <c r="A1063" i="8"/>
  <c r="A992" i="8"/>
  <c r="A990" i="8"/>
  <c r="A989" i="8"/>
  <c r="A807" i="8"/>
  <c r="A805" i="8"/>
  <c r="A804" i="8"/>
  <c r="A736" i="8"/>
  <c r="A734" i="8"/>
  <c r="A733" i="8"/>
  <c r="A685" i="8"/>
  <c r="A683" i="8"/>
  <c r="A682" i="8"/>
  <c r="A635" i="8"/>
  <c r="A579" i="8"/>
  <c r="A577" i="8"/>
  <c r="A576" i="8"/>
  <c r="A512" i="8"/>
  <c r="A510" i="8"/>
  <c r="A509" i="8"/>
  <c r="A458" i="8"/>
  <c r="A460" i="8" s="1"/>
  <c r="A461" i="8" s="1"/>
  <c r="A463" i="8" s="1"/>
  <c r="A464" i="8" s="1"/>
  <c r="A466" i="8" s="1"/>
  <c r="A468" i="8" s="1"/>
  <c r="A470" i="8" s="1"/>
  <c r="A473" i="8" s="1"/>
  <c r="A475" i="8" s="1"/>
  <c r="A477" i="8" s="1"/>
  <c r="A478" i="8" s="1"/>
  <c r="A480" i="8" s="1"/>
  <c r="A481" i="8" s="1"/>
  <c r="A483" i="8" s="1"/>
  <c r="A485" i="8" s="1"/>
  <c r="A487" i="8" s="1"/>
  <c r="A490" i="8" s="1"/>
  <c r="A492" i="8" s="1"/>
  <c r="A494" i="8" s="1"/>
  <c r="A495" i="8" s="1"/>
  <c r="A497" i="8" s="1"/>
  <c r="A498" i="8" s="1"/>
  <c r="A500" i="8" s="1"/>
  <c r="A502" i="8" s="1"/>
  <c r="A504" i="8" s="1"/>
  <c r="A444" i="8"/>
  <c r="A442" i="8"/>
  <c r="A441" i="8"/>
  <c r="A384" i="8"/>
  <c r="A382" i="8"/>
  <c r="A381" i="8"/>
  <c r="A275" i="8"/>
  <c r="A273" i="8"/>
  <c r="A272" i="8"/>
  <c r="A48" i="8"/>
  <c r="A47" i="8"/>
  <c r="A50" i="8"/>
  <c r="K95" i="3"/>
  <c r="L659" i="8" s="1"/>
  <c r="G95" i="3"/>
  <c r="N94" i="3"/>
  <c r="O655" i="20" s="1"/>
  <c r="J94" i="3"/>
  <c r="F94" i="3"/>
  <c r="N95" i="3"/>
  <c r="O656" i="20" s="1"/>
  <c r="J95" i="3"/>
  <c r="F95" i="3"/>
  <c r="I94" i="3"/>
  <c r="E94" i="3"/>
  <c r="F655" i="20" s="1"/>
  <c r="M95" i="3"/>
  <c r="E95" i="3"/>
  <c r="F656" i="20" s="1"/>
  <c r="L94" i="3"/>
  <c r="M655" i="20" s="1"/>
  <c r="H94" i="3"/>
  <c r="L95" i="3"/>
  <c r="M656" i="20" s="1"/>
  <c r="H95" i="3"/>
  <c r="I659" i="8" s="1"/>
  <c r="D95" i="3"/>
  <c r="K94" i="3"/>
  <c r="L658" i="8" s="1"/>
  <c r="G94" i="3"/>
  <c r="L92" i="3"/>
  <c r="M656" i="8" s="1"/>
  <c r="L33" i="5"/>
  <c r="H33" i="5"/>
  <c r="D86" i="3"/>
  <c r="D92" i="3" s="1"/>
  <c r="E656" i="8" s="1"/>
  <c r="D33" i="5"/>
  <c r="K92" i="3"/>
  <c r="K33" i="5"/>
  <c r="G92" i="3"/>
  <c r="H656" i="8" s="1"/>
  <c r="G33" i="5"/>
  <c r="N92" i="3"/>
  <c r="N33" i="5"/>
  <c r="J92" i="3"/>
  <c r="K656" i="8" s="1"/>
  <c r="J33" i="5"/>
  <c r="F92" i="3"/>
  <c r="G653" i="20" s="1"/>
  <c r="F33" i="5"/>
  <c r="M92" i="3"/>
  <c r="N653" i="20" s="1"/>
  <c r="M33" i="5"/>
  <c r="I92" i="3"/>
  <c r="I33" i="5"/>
  <c r="E92" i="3"/>
  <c r="F656" i="8" s="1"/>
  <c r="E33" i="5"/>
  <c r="M117" i="3"/>
  <c r="M169" i="3" s="1"/>
  <c r="D84" i="3"/>
  <c r="E84" i="3"/>
  <c r="G84" i="3"/>
  <c r="I84" i="3"/>
  <c r="J84" i="3"/>
  <c r="K84" i="3"/>
  <c r="L84" i="3"/>
  <c r="M84" i="3"/>
  <c r="N84" i="3"/>
  <c r="D409" i="8"/>
  <c r="D434" i="8"/>
  <c r="D414" i="8"/>
  <c r="D670" i="8"/>
  <c r="D468" i="8"/>
  <c r="D720" i="8"/>
  <c r="D769" i="8"/>
  <c r="D792" i="8"/>
  <c r="D766" i="20"/>
  <c r="D789" i="20"/>
  <c r="D406" i="20"/>
  <c r="D431" i="20"/>
  <c r="D466" i="20"/>
  <c r="D667" i="20"/>
  <c r="J355" i="3"/>
  <c r="K1118" i="20" s="1"/>
  <c r="K308" i="20" s="1"/>
  <c r="E52" i="3"/>
  <c r="G337" i="3"/>
  <c r="H1104" i="8" s="1"/>
  <c r="H305" i="8" s="1"/>
  <c r="K42" i="3"/>
  <c r="L531" i="8" s="1"/>
  <c r="L102" i="8" s="1"/>
  <c r="E76" i="3"/>
  <c r="F618" i="20" s="1"/>
  <c r="F149" i="20" s="1"/>
  <c r="N22" i="3"/>
  <c r="O426" i="20" s="1"/>
  <c r="O73" i="20" s="1"/>
  <c r="I27" i="3"/>
  <c r="E141" i="3"/>
  <c r="F22" i="3"/>
  <c r="D337" i="3"/>
  <c r="K187" i="3"/>
  <c r="L826" i="20" s="1"/>
  <c r="L224" i="20" s="1"/>
  <c r="I187" i="3"/>
  <c r="J826" i="20" s="1"/>
  <c r="J224" i="20" s="1"/>
  <c r="I141" i="3"/>
  <c r="N337" i="3"/>
  <c r="D47" i="3"/>
  <c r="I37" i="3"/>
  <c r="J497" i="8" s="1"/>
  <c r="J95" i="8" s="1"/>
  <c r="D37" i="3"/>
  <c r="E497" i="8" s="1"/>
  <c r="E95" i="8" s="1"/>
  <c r="N32" i="3"/>
  <c r="L27" i="3"/>
  <c r="L47" i="23" s="1"/>
  <c r="J27" i="3"/>
  <c r="J47" i="23" s="1"/>
  <c r="H27" i="3"/>
  <c r="H47" i="23" s="1"/>
  <c r="F27" i="3"/>
  <c r="F47" i="23" s="1"/>
  <c r="L141" i="3"/>
  <c r="L41" i="23" s="1"/>
  <c r="F337" i="3"/>
  <c r="E337" i="3"/>
  <c r="J187" i="3"/>
  <c r="K827" i="8" s="1"/>
  <c r="K229" i="8" s="1"/>
  <c r="G187" i="3"/>
  <c r="H827" i="8" s="1"/>
  <c r="M32" i="3"/>
  <c r="N480" i="8" s="1"/>
  <c r="N88" i="8" s="1"/>
  <c r="G32" i="3"/>
  <c r="F32" i="3"/>
  <c r="G480" i="8" s="1"/>
  <c r="G88" i="8" s="1"/>
  <c r="I22" i="3"/>
  <c r="I53" i="23" s="1"/>
  <c r="E22" i="3"/>
  <c r="E53" i="23" s="1"/>
  <c r="E54" i="23" s="1"/>
  <c r="M141" i="3"/>
  <c r="D42" i="3"/>
  <c r="E531" i="8" s="1"/>
  <c r="H47" i="3"/>
  <c r="I546" i="20" s="1"/>
  <c r="I128" i="20" s="1"/>
  <c r="M37" i="3"/>
  <c r="J32" i="3"/>
  <c r="K478" i="20" s="1"/>
  <c r="K87" i="20" s="1"/>
  <c r="E42" i="3"/>
  <c r="M187" i="3"/>
  <c r="G22" i="3"/>
  <c r="G53" i="23" s="1"/>
  <c r="D187" i="3"/>
  <c r="E826" i="20" s="1"/>
  <c r="J141" i="3"/>
  <c r="F141" i="3"/>
  <c r="L187" i="3"/>
  <c r="M827" i="8" s="1"/>
  <c r="M229" i="8" s="1"/>
  <c r="G76" i="3"/>
  <c r="H621" i="8" s="1"/>
  <c r="E355" i="3"/>
  <c r="E37" i="3"/>
  <c r="F497" i="8" s="1"/>
  <c r="F95" i="8" s="1"/>
  <c r="E187" i="3"/>
  <c r="E47" i="3"/>
  <c r="G355" i="3"/>
  <c r="H1122" i="8" s="1"/>
  <c r="H312" i="8" s="1"/>
  <c r="K141" i="3"/>
  <c r="L784" i="20" s="1"/>
  <c r="L197" i="20" s="1"/>
  <c r="J86" i="22" s="1"/>
  <c r="H141" i="3"/>
  <c r="I784" i="20" s="1"/>
  <c r="N252" i="3"/>
  <c r="J252" i="3"/>
  <c r="I252" i="3"/>
  <c r="L252" i="3"/>
  <c r="J17" i="2"/>
  <c r="K400" i="8" s="1"/>
  <c r="D17" i="2"/>
  <c r="E400" i="8" s="1"/>
  <c r="H187" i="3"/>
  <c r="I826" i="20" s="1"/>
  <c r="I224" i="20" s="1"/>
  <c r="E32" i="3"/>
  <c r="D141" i="3"/>
  <c r="D41" i="23" s="1"/>
  <c r="K252" i="3"/>
  <c r="G252" i="3"/>
  <c r="E252" i="3"/>
  <c r="D252" i="3"/>
  <c r="M252" i="3"/>
  <c r="H252" i="3"/>
  <c r="F252" i="3"/>
  <c r="N17" i="2"/>
  <c r="K17" i="2"/>
  <c r="L397" i="20" s="1"/>
  <c r="I17" i="2"/>
  <c r="J400" i="8" s="1"/>
  <c r="J66" i="8" s="1"/>
  <c r="M17" i="2"/>
  <c r="L17" i="2"/>
  <c r="H17" i="2"/>
  <c r="I397" i="20" s="1"/>
  <c r="F17" i="2"/>
  <c r="E17" i="2"/>
  <c r="A21" i="19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40" i="19" s="1"/>
  <c r="A42" i="19" s="1"/>
  <c r="A44" i="19" s="1"/>
  <c r="A45" i="19" s="1"/>
  <c r="A46" i="19" s="1"/>
  <c r="A47" i="19" s="1"/>
  <c r="A48" i="19" s="1"/>
  <c r="A52" i="19" s="1"/>
  <c r="A53" i="19" s="1"/>
  <c r="A54" i="19" s="1"/>
  <c r="A55" i="19" s="1"/>
  <c r="A57" i="19" s="1"/>
  <c r="A59" i="19" s="1"/>
  <c r="P59" i="5"/>
  <c r="H17" i="3"/>
  <c r="I404" i="8" s="1"/>
  <c r="O17" i="2"/>
  <c r="D17" i="3"/>
  <c r="E401" i="20" s="1"/>
  <c r="E66" i="20" s="1"/>
  <c r="K17" i="3"/>
  <c r="L404" i="8" s="1"/>
  <c r="J17" i="3"/>
  <c r="K401" i="20" s="1"/>
  <c r="I17" i="3"/>
  <c r="J404" i="8" s="1"/>
  <c r="L17" i="3"/>
  <c r="L17" i="23" s="1"/>
  <c r="L18" i="23" s="1"/>
  <c r="M17" i="3"/>
  <c r="N404" i="8" s="1"/>
  <c r="F17" i="3"/>
  <c r="F17" i="23" s="1"/>
  <c r="F18" i="23" s="1"/>
  <c r="G17" i="3"/>
  <c r="N17" i="3"/>
  <c r="E17" i="3"/>
  <c r="F401" i="20" s="1"/>
  <c r="O17" i="3"/>
  <c r="P404" i="8" s="1"/>
  <c r="G17" i="2"/>
  <c r="L182" i="2"/>
  <c r="K60" i="5"/>
  <c r="J182" i="2"/>
  <c r="K935" i="20" s="1"/>
  <c r="N60" i="5"/>
  <c r="O853" i="8"/>
  <c r="A68" i="3"/>
  <c r="A69" i="3" s="1"/>
  <c r="A70" i="3" s="1"/>
  <c r="E57" i="14"/>
  <c r="G57" i="14" s="1"/>
  <c r="C292" i="20"/>
  <c r="C1074" i="20" s="1"/>
  <c r="D964" i="20"/>
  <c r="D937" i="20"/>
  <c r="D672" i="20"/>
  <c r="D723" i="20"/>
  <c r="D794" i="20"/>
  <c r="D771" i="20"/>
  <c r="D412" i="20"/>
  <c r="P974" i="8" l="1"/>
  <c r="P257" i="8" s="1"/>
  <c r="A767" i="8"/>
  <c r="A769" i="8" s="1"/>
  <c r="A771" i="8" s="1"/>
  <c r="A773" i="8" s="1"/>
  <c r="A774" i="8" s="1"/>
  <c r="A776" i="8" s="1"/>
  <c r="A779" i="8" s="1"/>
  <c r="A781" i="8" s="1"/>
  <c r="A783" i="8" s="1"/>
  <c r="A784" i="8" s="1"/>
  <c r="A785" i="8" s="1"/>
  <c r="A787" i="8" s="1"/>
  <c r="A788" i="8" s="1"/>
  <c r="A789" i="8" s="1"/>
  <c r="A790" i="8" s="1"/>
  <c r="A792" i="8" s="1"/>
  <c r="A794" i="8" s="1"/>
  <c r="A796" i="8" s="1"/>
  <c r="A797" i="8" s="1"/>
  <c r="A799" i="8" s="1"/>
  <c r="A763" i="8"/>
  <c r="A764" i="8" s="1"/>
  <c r="C764" i="8"/>
  <c r="Q763" i="8"/>
  <c r="N1241" i="8"/>
  <c r="N1245" i="8" s="1"/>
  <c r="N1237" i="20"/>
  <c r="N1241" i="20" s="1"/>
  <c r="J1241" i="8"/>
  <c r="J1245" i="8" s="1"/>
  <c r="J1237" i="20"/>
  <c r="J1241" i="20" s="1"/>
  <c r="F1241" i="8"/>
  <c r="F1243" i="8" s="1"/>
  <c r="F1237" i="20"/>
  <c r="F1241" i="20" s="1"/>
  <c r="G1241" i="8"/>
  <c r="G1245" i="8" s="1"/>
  <c r="G1237" i="20"/>
  <c r="G1239" i="20" s="1"/>
  <c r="G356" i="20" s="1"/>
  <c r="M1241" i="8"/>
  <c r="M1245" i="8" s="1"/>
  <c r="M1237" i="20"/>
  <c r="M1241" i="20" s="1"/>
  <c r="I1241" i="8"/>
  <c r="I1237" i="20"/>
  <c r="I1241" i="20" s="1"/>
  <c r="O1241" i="8"/>
  <c r="O1245" i="8" s="1"/>
  <c r="O1237" i="20"/>
  <c r="O1241" i="20" s="1"/>
  <c r="K1241" i="8"/>
  <c r="K1245" i="8" s="1"/>
  <c r="K1237" i="20"/>
  <c r="K1241" i="20" s="1"/>
  <c r="P1241" i="8"/>
  <c r="P1245" i="8" s="1"/>
  <c r="P1237" i="20"/>
  <c r="P1241" i="20" s="1"/>
  <c r="L1241" i="8"/>
  <c r="L1237" i="20"/>
  <c r="L1241" i="20" s="1"/>
  <c r="H1241" i="8"/>
  <c r="H1245" i="8" s="1"/>
  <c r="H1237" i="20"/>
  <c r="O1242" i="8"/>
  <c r="O1246" i="8" s="1"/>
  <c r="O1238" i="20"/>
  <c r="O1242" i="20" s="1"/>
  <c r="M1242" i="8"/>
  <c r="M1246" i="8" s="1"/>
  <c r="M1238" i="20"/>
  <c r="M1242" i="20" s="1"/>
  <c r="L1242" i="8"/>
  <c r="L1246" i="8" s="1"/>
  <c r="L1238" i="20"/>
  <c r="L1242" i="20" s="1"/>
  <c r="K1242" i="8"/>
  <c r="K1246" i="8" s="1"/>
  <c r="K1238" i="20"/>
  <c r="J1242" i="8"/>
  <c r="J1246" i="8" s="1"/>
  <c r="J1238" i="20"/>
  <c r="J1242" i="20" s="1"/>
  <c r="I1242" i="8"/>
  <c r="I1246" i="8" s="1"/>
  <c r="I1238" i="20"/>
  <c r="I1242" i="20" s="1"/>
  <c r="H1242" i="8"/>
  <c r="H1246" i="8" s="1"/>
  <c r="H1238" i="20"/>
  <c r="H1242" i="20" s="1"/>
  <c r="N1242" i="8"/>
  <c r="N1246" i="8" s="1"/>
  <c r="N1238" i="20"/>
  <c r="P1242" i="8"/>
  <c r="P1246" i="8" s="1"/>
  <c r="P1238" i="20"/>
  <c r="P1242" i="20" s="1"/>
  <c r="D432" i="3"/>
  <c r="C12" i="27"/>
  <c r="E48" i="23"/>
  <c r="N42" i="23"/>
  <c r="F48" i="23"/>
  <c r="O54" i="23"/>
  <c r="C222" i="20"/>
  <c r="C818" i="20" s="1"/>
  <c r="C236" i="20"/>
  <c r="C887" i="20" s="1"/>
  <c r="C26" i="19"/>
  <c r="C234" i="8"/>
  <c r="C844" i="8" s="1"/>
  <c r="C195" i="20"/>
  <c r="C776" i="20" s="1"/>
  <c r="C129" i="8"/>
  <c r="C541" i="8" s="1"/>
  <c r="C64" i="20"/>
  <c r="C393" i="20" s="1"/>
  <c r="C255" i="8"/>
  <c r="C961" i="8" s="1"/>
  <c r="C188" i="20"/>
  <c r="C745" i="20" s="1"/>
  <c r="C227" i="8"/>
  <c r="C819" i="8" s="1"/>
  <c r="C250" i="20"/>
  <c r="C958" i="20" s="1"/>
  <c r="C93" i="8"/>
  <c r="C490" i="8" s="1"/>
  <c r="C317" i="8"/>
  <c r="C1148" i="8" s="1"/>
  <c r="C22" i="19"/>
  <c r="C229" i="20"/>
  <c r="C843" i="20" s="1"/>
  <c r="C296" i="8"/>
  <c r="C1078" i="8" s="1"/>
  <c r="C157" i="8"/>
  <c r="C647" i="8" s="1"/>
  <c r="C347" i="20"/>
  <c r="C1203" i="20" s="1"/>
  <c r="C262" i="8"/>
  <c r="C1004" i="8" s="1"/>
  <c r="C313" i="20"/>
  <c r="C1144" i="20" s="1"/>
  <c r="C143" i="8"/>
  <c r="C591" i="8" s="1"/>
  <c r="C85" i="20"/>
  <c r="C471" i="20" s="1"/>
  <c r="C248" i="8"/>
  <c r="C934" i="8" s="1"/>
  <c r="C303" i="8"/>
  <c r="C1096" i="8" s="1"/>
  <c r="C299" i="20"/>
  <c r="C1092" i="20" s="1"/>
  <c r="C33" i="19"/>
  <c r="C17" i="19"/>
  <c r="C71" i="20"/>
  <c r="C419" i="20" s="1"/>
  <c r="C147" i="20"/>
  <c r="C611" i="20" s="1"/>
  <c r="A23" i="14"/>
  <c r="A24" i="14" s="1"/>
  <c r="A25" i="14" s="1"/>
  <c r="A26" i="14" s="1"/>
  <c r="A27" i="14" s="1"/>
  <c r="A28" i="14" s="1"/>
  <c r="A29" i="14" s="1"/>
  <c r="A30" i="14" s="1"/>
  <c r="A31" i="14" s="1"/>
  <c r="A32" i="14" s="1"/>
  <c r="A34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1" i="14" s="1"/>
  <c r="A53" i="14" s="1"/>
  <c r="A55" i="14" s="1"/>
  <c r="A56" i="14" s="1"/>
  <c r="A57" i="14" s="1"/>
  <c r="A58" i="14" s="1"/>
  <c r="A59" i="14" s="1"/>
  <c r="A61" i="14" s="1"/>
  <c r="A63" i="14" s="1"/>
  <c r="C324" i="8"/>
  <c r="C1166" i="8" s="1"/>
  <c r="C320" i="20"/>
  <c r="C1162" i="20" s="1"/>
  <c r="C289" i="8"/>
  <c r="C1032" i="8" s="1"/>
  <c r="C72" i="8"/>
  <c r="C422" i="8" s="1"/>
  <c r="C199" i="8"/>
  <c r="C779" i="8" s="1"/>
  <c r="C154" i="20"/>
  <c r="C644" i="20" s="1"/>
  <c r="C181" i="20"/>
  <c r="C695" i="20" s="1"/>
  <c r="C185" i="8"/>
  <c r="C697" i="8" s="1"/>
  <c r="A92" i="20"/>
  <c r="A93" i="20" s="1"/>
  <c r="A94" i="20" s="1"/>
  <c r="A95" i="20" s="1"/>
  <c r="A96" i="20" s="1"/>
  <c r="A97" i="20" s="1"/>
  <c r="P160" i="3"/>
  <c r="A844" i="8"/>
  <c r="A846" i="8" s="1"/>
  <c r="A848" i="8" s="1"/>
  <c r="A849" i="8" s="1"/>
  <c r="A850" i="8" s="1"/>
  <c r="A852" i="8" s="1"/>
  <c r="A853" i="8" s="1"/>
  <c r="A854" i="8" s="1"/>
  <c r="A855" i="8" s="1"/>
  <c r="A856" i="8" s="1"/>
  <c r="A858" i="8" s="1"/>
  <c r="A859" i="8" s="1"/>
  <c r="A860" i="8" s="1"/>
  <c r="A861" i="8" s="1"/>
  <c r="A862" i="8" s="1"/>
  <c r="A865" i="8" s="1"/>
  <c r="A867" i="8" s="1"/>
  <c r="A869" i="8" s="1"/>
  <c r="A891" i="8" s="1"/>
  <c r="A893" i="8" s="1"/>
  <c r="A894" i="8" s="1"/>
  <c r="A895" i="8" s="1"/>
  <c r="A897" i="8" s="1"/>
  <c r="A898" i="8" s="1"/>
  <c r="A899" i="8" s="1"/>
  <c r="A900" i="8" s="1"/>
  <c r="A901" i="8" s="1"/>
  <c r="A903" i="8" s="1"/>
  <c r="A904" i="8" s="1"/>
  <c r="A905" i="8" s="1"/>
  <c r="A906" i="8" s="1"/>
  <c r="A907" i="8" s="1"/>
  <c r="A910" i="8" s="1"/>
  <c r="A912" i="8" s="1"/>
  <c r="A914" i="8" s="1"/>
  <c r="A936" i="8" s="1"/>
  <c r="A938" i="8" s="1"/>
  <c r="A939" i="8" s="1"/>
  <c r="A940" i="8" s="1"/>
  <c r="A941" i="8" s="1"/>
  <c r="A943" i="8" s="1"/>
  <c r="A944" i="8" s="1"/>
  <c r="A948" i="8" s="1"/>
  <c r="A949" i="8" s="1"/>
  <c r="A954" i="8" s="1"/>
  <c r="A956" i="8" s="1"/>
  <c r="A958" i="8" s="1"/>
  <c r="A961" i="8" s="1"/>
  <c r="A963" i="8" s="1"/>
  <c r="A965" i="8" s="1"/>
  <c r="A966" i="8" s="1"/>
  <c r="A967" i="8" s="1"/>
  <c r="A968" i="8" s="1"/>
  <c r="A970" i="8" s="1"/>
  <c r="A971" i="8" s="1"/>
  <c r="A975" i="8" s="1"/>
  <c r="A976" i="8" s="1"/>
  <c r="A981" i="8" s="1"/>
  <c r="A983" i="8" s="1"/>
  <c r="A985" i="8" s="1"/>
  <c r="A303" i="8"/>
  <c r="A304" i="8" s="1"/>
  <c r="A305" i="8" s="1"/>
  <c r="A306" i="8" s="1"/>
  <c r="A307" i="8" s="1"/>
  <c r="A308" i="8" s="1"/>
  <c r="A310" i="8" s="1"/>
  <c r="A311" i="8" s="1"/>
  <c r="A312" i="8" s="1"/>
  <c r="A313" i="8" s="1"/>
  <c r="A314" i="8" s="1"/>
  <c r="A315" i="8" s="1"/>
  <c r="A317" i="8" s="1"/>
  <c r="A318" i="8" s="1"/>
  <c r="A319" i="8" s="1"/>
  <c r="A320" i="8" s="1"/>
  <c r="A321" i="8" s="1"/>
  <c r="A322" i="8" s="1"/>
  <c r="A324" i="8" s="1"/>
  <c r="A325" i="8" s="1"/>
  <c r="A326" i="8" s="1"/>
  <c r="A327" i="8" s="1"/>
  <c r="A328" i="8" s="1"/>
  <c r="A329" i="8" s="1"/>
  <c r="A352" i="8" s="1"/>
  <c r="A353" i="8" s="1"/>
  <c r="A354" i="8" s="1"/>
  <c r="A355" i="8" s="1"/>
  <c r="A356" i="8" s="1"/>
  <c r="A358" i="8" s="1"/>
  <c r="A359" i="8" s="1"/>
  <c r="A360" i="8" s="1"/>
  <c r="A361" i="8" s="1"/>
  <c r="A362" i="8" s="1"/>
  <c r="A363" i="8" s="1"/>
  <c r="A365" i="8" s="1"/>
  <c r="A367" i="8" s="1"/>
  <c r="A369" i="8" s="1"/>
  <c r="A370" i="8" s="1"/>
  <c r="A371" i="8" s="1"/>
  <c r="A372" i="8" s="1"/>
  <c r="A373" i="8" s="1"/>
  <c r="A375" i="8" s="1"/>
  <c r="A377" i="8" s="1"/>
  <c r="A93" i="8"/>
  <c r="A94" i="8" s="1"/>
  <c r="A95" i="8" s="1"/>
  <c r="A96" i="8" s="1"/>
  <c r="A97" i="8" s="1"/>
  <c r="A98" i="8" s="1"/>
  <c r="A100" i="8" s="1"/>
  <c r="A101" i="8" s="1"/>
  <c r="A102" i="8" s="1"/>
  <c r="A103" i="8" s="1"/>
  <c r="A104" i="8" s="1"/>
  <c r="A105" i="8" s="1"/>
  <c r="A130" i="8" s="1"/>
  <c r="A131" i="8" s="1"/>
  <c r="A132" i="8" s="1"/>
  <c r="A133" i="8" s="1"/>
  <c r="A134" i="8" s="1"/>
  <c r="A163" i="2"/>
  <c r="A164" i="2" s="1"/>
  <c r="A166" i="2" s="1"/>
  <c r="A167" i="2" s="1"/>
  <c r="A168" i="2" s="1"/>
  <c r="A169" i="2" s="1"/>
  <c r="A170" i="2" s="1"/>
  <c r="A172" i="2" s="1"/>
  <c r="A173" i="2" s="1"/>
  <c r="A174" i="2" s="1"/>
  <c r="A175" i="2" s="1"/>
  <c r="A176" i="2" s="1"/>
  <c r="A178" i="2" s="1"/>
  <c r="A179" i="2" s="1"/>
  <c r="A180" i="2" s="1"/>
  <c r="A181" i="2" s="1"/>
  <c r="A182" i="2" s="1"/>
  <c r="A184" i="2" s="1"/>
  <c r="A185" i="2" s="1"/>
  <c r="A186" i="2" s="1"/>
  <c r="A187" i="2" s="1"/>
  <c r="A188" i="2" s="1"/>
  <c r="A190" i="2" s="1"/>
  <c r="A191" i="2" s="1"/>
  <c r="A192" i="2" s="1"/>
  <c r="A193" i="2" s="1"/>
  <c r="A194" i="2" s="1"/>
  <c r="L144" i="2"/>
  <c r="N144" i="2"/>
  <c r="H144" i="2"/>
  <c r="D144" i="2"/>
  <c r="J144" i="2"/>
  <c r="M144" i="2"/>
  <c r="F144" i="2"/>
  <c r="A16" i="2"/>
  <c r="A17" i="2" s="1"/>
  <c r="A19" i="2" s="1"/>
  <c r="A20" i="2" s="1"/>
  <c r="P127" i="2"/>
  <c r="P783" i="8"/>
  <c r="P784" i="8" s="1"/>
  <c r="P1287" i="8" s="1"/>
  <c r="I1080" i="20"/>
  <c r="N526" i="20"/>
  <c r="N527" i="20" s="1"/>
  <c r="J1008" i="8"/>
  <c r="J1010" i="8" s="1"/>
  <c r="J492" i="20"/>
  <c r="J93" i="20" s="1"/>
  <c r="D145" i="2"/>
  <c r="F13" i="19"/>
  <c r="F36" i="26"/>
  <c r="F37" i="26"/>
  <c r="F40" i="26"/>
  <c r="F39" i="26"/>
  <c r="I39" i="26" s="1"/>
  <c r="A678" i="20"/>
  <c r="A376" i="20"/>
  <c r="A728" i="20"/>
  <c r="A1254" i="20"/>
  <c r="A573" i="20"/>
  <c r="I782" i="20"/>
  <c r="I1286" i="20" s="1"/>
  <c r="F406" i="20"/>
  <c r="F68" i="20" s="1"/>
  <c r="L1338" i="20"/>
  <c r="Q240" i="20"/>
  <c r="Q358" i="20"/>
  <c r="M751" i="20"/>
  <c r="H1241" i="20"/>
  <c r="J1338" i="20"/>
  <c r="A1128" i="20"/>
  <c r="A799" i="20"/>
  <c r="A871" i="20"/>
  <c r="L399" i="20"/>
  <c r="L1260" i="20" s="1"/>
  <c r="Q130" i="20"/>
  <c r="Q137" i="20"/>
  <c r="O1338" i="20"/>
  <c r="Q233" i="20"/>
  <c r="Q324" i="20"/>
  <c r="Q351" i="20"/>
  <c r="K1242" i="20"/>
  <c r="Q226" i="20"/>
  <c r="F1338" i="20"/>
  <c r="N1338" i="20"/>
  <c r="Q310" i="20"/>
  <c r="A915" i="20"/>
  <c r="K406" i="20"/>
  <c r="K68" i="20" s="1"/>
  <c r="F544" i="20"/>
  <c r="I1153" i="20"/>
  <c r="E427" i="20"/>
  <c r="Q151" i="20"/>
  <c r="Q254" i="20"/>
  <c r="Q261" i="20"/>
  <c r="Q303" i="20"/>
  <c r="Q317" i="20"/>
  <c r="G1338" i="20"/>
  <c r="Q296" i="20"/>
  <c r="Q96" i="20"/>
  <c r="E1242" i="8"/>
  <c r="P404" i="3"/>
  <c r="E1241" i="8"/>
  <c r="P403" i="3"/>
  <c r="Q103" i="20"/>
  <c r="J1153" i="20"/>
  <c r="N1242" i="20"/>
  <c r="P1338" i="20"/>
  <c r="K601" i="20"/>
  <c r="I824" i="20"/>
  <c r="I1305" i="20" s="1"/>
  <c r="K1098" i="20"/>
  <c r="Q89" i="20"/>
  <c r="J1008" i="20"/>
  <c r="Q144" i="20"/>
  <c r="K1338" i="20"/>
  <c r="H1338" i="20"/>
  <c r="Q247" i="20"/>
  <c r="Q289" i="20"/>
  <c r="E1242" i="20"/>
  <c r="A1058" i="20"/>
  <c r="K544" i="20"/>
  <c r="G1168" i="20"/>
  <c r="A628" i="20"/>
  <c r="J602" i="20"/>
  <c r="N1176" i="20"/>
  <c r="M1175" i="20"/>
  <c r="G602" i="20"/>
  <c r="M1176" i="20"/>
  <c r="A985" i="20"/>
  <c r="A1186" i="20"/>
  <c r="O965" i="20"/>
  <c r="A375" i="20"/>
  <c r="A436" i="20"/>
  <c r="A505" i="20"/>
  <c r="H1210" i="20"/>
  <c r="P782" i="20"/>
  <c r="P1286" i="20" s="1"/>
  <c r="N601" i="20"/>
  <c r="L1176" i="20"/>
  <c r="O1175" i="20"/>
  <c r="K1175" i="20"/>
  <c r="G1175" i="20"/>
  <c r="C30" i="19"/>
  <c r="C100" i="8"/>
  <c r="C524" i="8" s="1"/>
  <c r="C79" i="8"/>
  <c r="C456" i="8" s="1"/>
  <c r="C257" i="20"/>
  <c r="C1001" i="20" s="1"/>
  <c r="C136" i="8"/>
  <c r="C558" i="8" s="1"/>
  <c r="C351" i="8"/>
  <c r="C1206" i="8" s="1"/>
  <c r="C27" i="19"/>
  <c r="C310" i="8"/>
  <c r="C1114" i="8" s="1"/>
  <c r="C37" i="19"/>
  <c r="C19" i="19"/>
  <c r="C354" i="20"/>
  <c r="C1228" i="20" s="1"/>
  <c r="A917" i="8"/>
  <c r="K414" i="8"/>
  <c r="K1265" i="8" s="1"/>
  <c r="K1299" i="8" s="1"/>
  <c r="E58" i="14"/>
  <c r="G58" i="14" s="1"/>
  <c r="B1078" i="8"/>
  <c r="E401" i="8"/>
  <c r="F1340" i="8"/>
  <c r="N712" i="8"/>
  <c r="C25" i="22"/>
  <c r="O25" i="22" s="1"/>
  <c r="Q375" i="8"/>
  <c r="R1361" i="8"/>
  <c r="B1096" i="8"/>
  <c r="N416" i="8"/>
  <c r="N1267" i="8" s="1"/>
  <c r="N1301" i="8" s="1"/>
  <c r="L405" i="8"/>
  <c r="M1223" i="8"/>
  <c r="Q367" i="20"/>
  <c r="H38" i="26" s="1"/>
  <c r="E59" i="14"/>
  <c r="G59" i="14" s="1"/>
  <c r="E56" i="14"/>
  <c r="G56" i="14" s="1"/>
  <c r="Q266" i="8"/>
  <c r="Q307" i="8"/>
  <c r="I1223" i="8"/>
  <c r="H622" i="8"/>
  <c r="P714" i="8"/>
  <c r="A57" i="15"/>
  <c r="A59" i="15" s="1"/>
  <c r="A61" i="15" s="1"/>
  <c r="A25" i="15"/>
  <c r="A26" i="15" s="1"/>
  <c r="A27" i="15" s="1"/>
  <c r="A28" i="15" s="1"/>
  <c r="P416" i="8"/>
  <c r="P1267" i="8" s="1"/>
  <c r="P1301" i="8" s="1"/>
  <c r="E55" i="14"/>
  <c r="G55" i="14" s="1"/>
  <c r="J416" i="8"/>
  <c r="J1267" i="8" s="1"/>
  <c r="J1301" i="8" s="1"/>
  <c r="M1340" i="8"/>
  <c r="E1340" i="8"/>
  <c r="G1157" i="8"/>
  <c r="F1246" i="8"/>
  <c r="N824" i="8"/>
  <c r="N1306" i="8" s="1"/>
  <c r="O894" i="8"/>
  <c r="H1238" i="8"/>
  <c r="Q140" i="8"/>
  <c r="K1051" i="8"/>
  <c r="E402" i="8"/>
  <c r="E1262" i="8" s="1"/>
  <c r="Q33" i="20"/>
  <c r="H59" i="14" s="1"/>
  <c r="H1022" i="8"/>
  <c r="H1048" i="8"/>
  <c r="Q31" i="20"/>
  <c r="H57" i="14" s="1"/>
  <c r="I57" i="14" s="1"/>
  <c r="J57" i="14" s="1"/>
  <c r="N764" i="8"/>
  <c r="I764" i="8"/>
  <c r="Q369" i="20"/>
  <c r="H40" i="26" s="1"/>
  <c r="Q366" i="20"/>
  <c r="H37" i="26" s="1"/>
  <c r="N1021" i="8"/>
  <c r="J1021" i="8"/>
  <c r="J1051" i="8"/>
  <c r="Q104" i="8"/>
  <c r="Q133" i="8"/>
  <c r="Q154" i="8"/>
  <c r="Q238" i="8"/>
  <c r="Q245" i="8"/>
  <c r="Q259" i="8"/>
  <c r="Q314" i="8"/>
  <c r="Q321" i="8"/>
  <c r="Q328" i="8"/>
  <c r="Q355" i="8"/>
  <c r="Q33" i="8"/>
  <c r="Q32" i="8"/>
  <c r="Q30" i="8"/>
  <c r="O1083" i="8"/>
  <c r="L664" i="8"/>
  <c r="J1157" i="8"/>
  <c r="Q97" i="8"/>
  <c r="P1340" i="8"/>
  <c r="P715" i="8"/>
  <c r="R1353" i="8"/>
  <c r="O762" i="8"/>
  <c r="H859" i="8"/>
  <c r="E907" i="8"/>
  <c r="L904" i="8"/>
  <c r="N976" i="8"/>
  <c r="F976" i="8"/>
  <c r="A1190" i="8"/>
  <c r="A1132" i="8"/>
  <c r="A1061" i="8"/>
  <c r="A988" i="8"/>
  <c r="A802" i="8"/>
  <c r="A631" i="8"/>
  <c r="A575" i="8"/>
  <c r="A730" i="8"/>
  <c r="A680" i="8"/>
  <c r="A1256" i="8"/>
  <c r="A507" i="8"/>
  <c r="Q90" i="8"/>
  <c r="Q147" i="8"/>
  <c r="O1340" i="8"/>
  <c r="G1340" i="8"/>
  <c r="Q252" i="8"/>
  <c r="Q293" i="8"/>
  <c r="Q300" i="8"/>
  <c r="Q29" i="8"/>
  <c r="Q31" i="8"/>
  <c r="H1340" i="8"/>
  <c r="F1154" i="8"/>
  <c r="Q231" i="8"/>
  <c r="L665" i="8"/>
  <c r="A439" i="8"/>
  <c r="E32" i="20"/>
  <c r="Q32" i="20" s="1"/>
  <c r="H58" i="14" s="1"/>
  <c r="Q368" i="20"/>
  <c r="H39" i="26" s="1"/>
  <c r="N604" i="8"/>
  <c r="E862" i="8"/>
  <c r="G862" i="8"/>
  <c r="N861" i="8"/>
  <c r="J861" i="8"/>
  <c r="L906" i="8"/>
  <c r="F905" i="8"/>
  <c r="E951" i="8"/>
  <c r="N1037" i="8"/>
  <c r="F662" i="8"/>
  <c r="E662" i="8"/>
  <c r="M662" i="8"/>
  <c r="I665" i="8"/>
  <c r="O824" i="8"/>
  <c r="O1306" i="8" s="1"/>
  <c r="E1237" i="8"/>
  <c r="O715" i="8"/>
  <c r="H1023" i="8"/>
  <c r="O1022" i="8"/>
  <c r="M1050" i="8"/>
  <c r="I1050" i="8"/>
  <c r="P1083" i="8"/>
  <c r="P1049" i="8"/>
  <c r="M604" i="8"/>
  <c r="G603" i="8"/>
  <c r="E861" i="8"/>
  <c r="J862" i="8"/>
  <c r="L860" i="8"/>
  <c r="G859" i="8"/>
  <c r="I907" i="8"/>
  <c r="K906" i="8"/>
  <c r="G906" i="8"/>
  <c r="O904" i="8"/>
  <c r="G904" i="8"/>
  <c r="K949" i="8"/>
  <c r="P1180" i="8"/>
  <c r="H662" i="8"/>
  <c r="I1105" i="8"/>
  <c r="H753" i="8"/>
  <c r="I1020" i="8"/>
  <c r="K532" i="8"/>
  <c r="L1105" i="8"/>
  <c r="I1157" i="8"/>
  <c r="G967" i="8"/>
  <c r="G1023" i="8"/>
  <c r="N1022" i="8"/>
  <c r="M1021" i="8"/>
  <c r="I1021" i="8"/>
  <c r="K1223" i="8"/>
  <c r="G1223" i="8"/>
  <c r="F1221" i="8"/>
  <c r="I1051" i="8"/>
  <c r="H1050" i="8"/>
  <c r="O1049" i="8"/>
  <c r="K1049" i="8"/>
  <c r="F1048" i="8"/>
  <c r="P1020" i="8"/>
  <c r="P968" i="8"/>
  <c r="E860" i="8"/>
  <c r="L861" i="8"/>
  <c r="O860" i="8"/>
  <c r="H907" i="8"/>
  <c r="J906" i="8"/>
  <c r="F906" i="8"/>
  <c r="P904" i="8"/>
  <c r="G1180" i="8"/>
  <c r="N1179" i="8"/>
  <c r="N663" i="8"/>
  <c r="J663" i="8"/>
  <c r="O1087" i="8"/>
  <c r="E495" i="8"/>
  <c r="M495" i="8"/>
  <c r="M619" i="8"/>
  <c r="N754" i="8"/>
  <c r="G784" i="8"/>
  <c r="G1287" i="8" s="1"/>
  <c r="G1238" i="8"/>
  <c r="N1023" i="8"/>
  <c r="J1023" i="8"/>
  <c r="L1021" i="8"/>
  <c r="H1021" i="8"/>
  <c r="J1223" i="8"/>
  <c r="L1051" i="8"/>
  <c r="P563" i="8"/>
  <c r="K764" i="8"/>
  <c r="G764" i="8"/>
  <c r="P862" i="8"/>
  <c r="O861" i="8"/>
  <c r="N860" i="8"/>
  <c r="K907" i="8"/>
  <c r="M949" i="8"/>
  <c r="I949" i="8"/>
  <c r="J1180" i="8"/>
  <c r="P978" i="8"/>
  <c r="H978" i="8"/>
  <c r="L65" i="5"/>
  <c r="F54" i="5"/>
  <c r="L386" i="3"/>
  <c r="O60" i="5"/>
  <c r="O54" i="5"/>
  <c r="M47" i="5"/>
  <c r="D65" i="5"/>
  <c r="J60" i="5"/>
  <c r="G65" i="5"/>
  <c r="F60" i="5"/>
  <c r="I47" i="5"/>
  <c r="O65" i="5"/>
  <c r="F40" i="5"/>
  <c r="M40" i="5"/>
  <c r="K40" i="5"/>
  <c r="J40" i="5"/>
  <c r="G54" i="5"/>
  <c r="G47" i="5"/>
  <c r="H54" i="5"/>
  <c r="F47" i="5"/>
  <c r="P43" i="5"/>
  <c r="G40" i="5"/>
  <c r="L54" i="5"/>
  <c r="L47" i="5"/>
  <c r="H65" i="5"/>
  <c r="D54" i="5"/>
  <c r="H60" i="5"/>
  <c r="A74" i="3"/>
  <c r="A75" i="3" s="1"/>
  <c r="A76" i="3" s="1"/>
  <c r="A78" i="3" s="1"/>
  <c r="A79" i="3" s="1"/>
  <c r="A80" i="3" s="1"/>
  <c r="A81" i="3" s="1"/>
  <c r="A82" i="3" s="1"/>
  <c r="A83" i="3" s="1"/>
  <c r="A85" i="3" s="1"/>
  <c r="A86" i="3" s="1"/>
  <c r="A87" i="3" s="1"/>
  <c r="A88" i="3" s="1"/>
  <c r="A89" i="3" s="1"/>
  <c r="A91" i="3" s="1"/>
  <c r="A92" i="3" s="1"/>
  <c r="A93" i="3" s="1"/>
  <c r="A94" i="3" s="1"/>
  <c r="A95" i="3" s="1"/>
  <c r="A96" i="3" s="1"/>
  <c r="A71" i="3"/>
  <c r="A73" i="3" s="1"/>
  <c r="A138" i="3"/>
  <c r="A139" i="3" s="1"/>
  <c r="A140" i="3" s="1"/>
  <c r="A141" i="3" s="1"/>
  <c r="A158" i="3" s="1"/>
  <c r="A159" i="3" s="1"/>
  <c r="A160" i="3" s="1"/>
  <c r="A161" i="3" s="1"/>
  <c r="A163" i="3" s="1"/>
  <c r="A164" i="3" s="1"/>
  <c r="A165" i="3" s="1"/>
  <c r="A166" i="3" s="1"/>
  <c r="A168" i="3" s="1"/>
  <c r="A169" i="3" s="1"/>
  <c r="A170" i="3" s="1"/>
  <c r="A171" i="3" s="1"/>
  <c r="A173" i="3" s="1"/>
  <c r="A174" i="3" s="1"/>
  <c r="A175" i="3" s="1"/>
  <c r="A176" i="3" s="1"/>
  <c r="A178" i="3" s="1"/>
  <c r="A179" i="3" s="1"/>
  <c r="A180" i="3" s="1"/>
  <c r="A181" i="3" s="1"/>
  <c r="A184" i="3" s="1"/>
  <c r="A185" i="3" s="1"/>
  <c r="A186" i="3" s="1"/>
  <c r="A187" i="3" s="1"/>
  <c r="A189" i="3" s="1"/>
  <c r="A190" i="3" s="1"/>
  <c r="A191" i="3" s="1"/>
  <c r="A192" i="3" s="1"/>
  <c r="A193" i="3" s="1"/>
  <c r="A194" i="3" s="1"/>
  <c r="A196" i="3" s="1"/>
  <c r="A197" i="3" s="1"/>
  <c r="A198" i="3" s="1"/>
  <c r="A199" i="3" s="1"/>
  <c r="A200" i="3" s="1"/>
  <c r="A202" i="3" s="1"/>
  <c r="A203" i="3" s="1"/>
  <c r="A204" i="3" s="1"/>
  <c r="A205" i="3" s="1"/>
  <c r="A206" i="3" s="1"/>
  <c r="A207" i="3" s="1"/>
  <c r="A223" i="3" s="1"/>
  <c r="A224" i="3" s="1"/>
  <c r="A225" i="3" s="1"/>
  <c r="A226" i="3" s="1"/>
  <c r="A227" i="3" s="1"/>
  <c r="A229" i="3" s="1"/>
  <c r="A230" i="3" s="1"/>
  <c r="A231" i="3" s="1"/>
  <c r="A232" i="3" s="1"/>
  <c r="A233" i="3" s="1"/>
  <c r="A235" i="3" s="1"/>
  <c r="A236" i="3" s="1"/>
  <c r="A237" i="3" s="1"/>
  <c r="A238" i="3" s="1"/>
  <c r="A239" i="3" s="1"/>
  <c r="A240" i="3" s="1"/>
  <c r="A242" i="3" s="1"/>
  <c r="A243" i="3" s="1"/>
  <c r="A244" i="3" s="1"/>
  <c r="A248" i="3" s="1"/>
  <c r="A249" i="3" s="1"/>
  <c r="G601" i="20"/>
  <c r="M1118" i="20"/>
  <c r="M308" i="20" s="1"/>
  <c r="G618" i="20"/>
  <c r="G149" i="20" s="1"/>
  <c r="F603" i="8"/>
  <c r="N1100" i="20"/>
  <c r="N301" i="20" s="1"/>
  <c r="M478" i="20"/>
  <c r="M479" i="20" s="1"/>
  <c r="O495" i="20"/>
  <c r="O94" i="20" s="1"/>
  <c r="J1086" i="8"/>
  <c r="J1087" i="8" s="1"/>
  <c r="J565" i="8"/>
  <c r="J138" i="8" s="1"/>
  <c r="K207" i="3"/>
  <c r="G207" i="3"/>
  <c r="H207" i="3"/>
  <c r="L207" i="3"/>
  <c r="M424" i="3"/>
  <c r="P1172" i="20"/>
  <c r="P1176" i="20" s="1"/>
  <c r="J495" i="20"/>
  <c r="J94" i="20" s="1"/>
  <c r="G1122" i="8"/>
  <c r="G312" i="8" s="1"/>
  <c r="E565" i="8"/>
  <c r="E138" i="8" s="1"/>
  <c r="J1104" i="8"/>
  <c r="J305" i="8" s="1"/>
  <c r="D161" i="3"/>
  <c r="H36" i="23"/>
  <c r="K36" i="23"/>
  <c r="J424" i="3"/>
  <c r="J429" i="8"/>
  <c r="J434" i="8" s="1"/>
  <c r="K17" i="23"/>
  <c r="K18" i="23" s="1"/>
  <c r="E757" i="20"/>
  <c r="E190" i="20" s="1"/>
  <c r="D47" i="23"/>
  <c r="D48" i="23" s="1"/>
  <c r="N854" i="20"/>
  <c r="I463" i="8"/>
  <c r="I81" i="8" s="1"/>
  <c r="M787" i="8"/>
  <c r="M201" i="8" s="1"/>
  <c r="K38" i="22" s="1"/>
  <c r="I941" i="20"/>
  <c r="I944" i="20" s="1"/>
  <c r="I245" i="20" s="1"/>
  <c r="F495" i="20"/>
  <c r="F94" i="20" s="1"/>
  <c r="I207" i="3"/>
  <c r="E176" i="3"/>
  <c r="E1175" i="8"/>
  <c r="E1179" i="8" s="1"/>
  <c r="E429" i="8"/>
  <c r="E74" i="8" s="1"/>
  <c r="D128" i="3"/>
  <c r="E707" i="20" s="1"/>
  <c r="H1014" i="20"/>
  <c r="F404" i="8"/>
  <c r="F409" i="8" s="1"/>
  <c r="F69" i="8" s="1"/>
  <c r="M941" i="20"/>
  <c r="M944" i="20" s="1"/>
  <c r="M245" i="20" s="1"/>
  <c r="J946" i="8"/>
  <c r="J951" i="8" s="1"/>
  <c r="M565" i="8"/>
  <c r="M138" i="8" s="1"/>
  <c r="F426" i="20"/>
  <c r="F73" i="20" s="1"/>
  <c r="M17" i="23"/>
  <c r="M18" i="23" s="1"/>
  <c r="H852" i="20"/>
  <c r="H426" i="20"/>
  <c r="H73" i="20" s="1"/>
  <c r="L53" i="23"/>
  <c r="L54" i="23" s="1"/>
  <c r="L401" i="20"/>
  <c r="L412" i="20" s="1"/>
  <c r="J899" i="20"/>
  <c r="G478" i="20"/>
  <c r="G87" i="20" s="1"/>
  <c r="P1175" i="8"/>
  <c r="P1179" i="8" s="1"/>
  <c r="J899" i="8"/>
  <c r="J905" i="8" s="1"/>
  <c r="H529" i="20"/>
  <c r="H530" i="20" s="1"/>
  <c r="O529" i="20"/>
  <c r="O101" i="20" s="1"/>
  <c r="N1157" i="8"/>
  <c r="N478" i="20"/>
  <c r="N87" i="20" s="1"/>
  <c r="N1118" i="20"/>
  <c r="N308" i="20" s="1"/>
  <c r="N401" i="20"/>
  <c r="N412" i="20" s="1"/>
  <c r="E17" i="23"/>
  <c r="E18" i="23" s="1"/>
  <c r="O621" i="8"/>
  <c r="O152" i="8" s="1"/>
  <c r="K826" i="20"/>
  <c r="K224" i="20" s="1"/>
  <c r="P896" i="20"/>
  <c r="K856" i="8"/>
  <c r="K862" i="8" s="1"/>
  <c r="K480" i="8"/>
  <c r="K88" i="8" s="1"/>
  <c r="E404" i="8"/>
  <c r="P426" i="20"/>
  <c r="P427" i="20" s="1"/>
  <c r="M531" i="8"/>
  <c r="M532" i="8" s="1"/>
  <c r="E463" i="8"/>
  <c r="E464" i="8" s="1"/>
  <c r="H240" i="3"/>
  <c r="J257" i="3"/>
  <c r="F432" i="3"/>
  <c r="I427" i="3"/>
  <c r="K424" i="3"/>
  <c r="G481" i="8"/>
  <c r="L529" i="20"/>
  <c r="L530" i="20" s="1"/>
  <c r="G461" i="20"/>
  <c r="G80" i="20" s="1"/>
  <c r="L896" i="20"/>
  <c r="L853" i="8"/>
  <c r="L859" i="8" s="1"/>
  <c r="I1012" i="20"/>
  <c r="L461" i="20"/>
  <c r="L466" i="20" s="1"/>
  <c r="L82" i="20" s="1"/>
  <c r="I1175" i="8"/>
  <c r="I1179" i="8" s="1"/>
  <c r="N901" i="8"/>
  <c r="N907" i="8" s="1"/>
  <c r="G604" i="8"/>
  <c r="N897" i="20"/>
  <c r="M764" i="8"/>
  <c r="P563" i="20"/>
  <c r="P135" i="20" s="1"/>
  <c r="M463" i="8"/>
  <c r="M468" i="8" s="1"/>
  <c r="M83" i="8" s="1"/>
  <c r="N257" i="3"/>
  <c r="J1016" i="8"/>
  <c r="J1022" i="8" s="1"/>
  <c r="G463" i="8"/>
  <c r="G81" i="8" s="1"/>
  <c r="H1086" i="8"/>
  <c r="H298" i="8" s="1"/>
  <c r="M854" i="8"/>
  <c r="M860" i="8" s="1"/>
  <c r="N1176" i="8"/>
  <c r="N1177" i="8" s="1"/>
  <c r="N326" i="8" s="1"/>
  <c r="J827" i="8"/>
  <c r="J229" i="8" s="1"/>
  <c r="H898" i="8"/>
  <c r="H904" i="8" s="1"/>
  <c r="J854" i="20"/>
  <c r="O1082" i="20"/>
  <c r="O294" i="20" s="1"/>
  <c r="K432" i="3"/>
  <c r="G432" i="3"/>
  <c r="L374" i="3"/>
  <c r="H374" i="3"/>
  <c r="D374" i="3"/>
  <c r="G374" i="3"/>
  <c r="N176" i="3"/>
  <c r="J176" i="3"/>
  <c r="L424" i="3"/>
  <c r="D424" i="3"/>
  <c r="O405" i="3"/>
  <c r="O117" i="3"/>
  <c r="K946" i="8"/>
  <c r="K947" i="8" s="1"/>
  <c r="K250" i="8" s="1"/>
  <c r="O659" i="8"/>
  <c r="O665" i="8" s="1"/>
  <c r="M546" i="20"/>
  <c r="M128" i="20" s="1"/>
  <c r="M401" i="20"/>
  <c r="M66" i="20" s="1"/>
  <c r="G1175" i="8"/>
  <c r="G1177" i="8" s="1"/>
  <c r="G326" i="8" s="1"/>
  <c r="I1100" i="20"/>
  <c r="I301" i="20" s="1"/>
  <c r="F659" i="8"/>
  <c r="F665" i="8" s="1"/>
  <c r="M659" i="8"/>
  <c r="M665" i="8" s="1"/>
  <c r="I566" i="8"/>
  <c r="K618" i="20"/>
  <c r="K149" i="20" s="1"/>
  <c r="K1175" i="8"/>
  <c r="K1179" i="8" s="1"/>
  <c r="L1100" i="20"/>
  <c r="L301" i="20" s="1"/>
  <c r="O1122" i="8"/>
  <c r="O312" i="8" s="1"/>
  <c r="K603" i="8"/>
  <c r="O1175" i="8"/>
  <c r="O1179" i="8" s="1"/>
  <c r="F429" i="8"/>
  <c r="F74" i="8" s="1"/>
  <c r="H546" i="20"/>
  <c r="H128" i="20" s="1"/>
  <c r="M427" i="3"/>
  <c r="E427" i="3"/>
  <c r="I176" i="3"/>
  <c r="O240" i="3"/>
  <c r="J1214" i="20"/>
  <c r="G497" i="8"/>
  <c r="G95" i="8" s="1"/>
  <c r="J764" i="8"/>
  <c r="P401" i="20"/>
  <c r="P406" i="20" s="1"/>
  <c r="P68" i="20" s="1"/>
  <c r="J1172" i="20"/>
  <c r="J1176" i="20" s="1"/>
  <c r="K855" i="8"/>
  <c r="K861" i="8" s="1"/>
  <c r="J426" i="20"/>
  <c r="J427" i="20" s="1"/>
  <c r="M784" i="20"/>
  <c r="M789" i="20" s="1"/>
  <c r="E943" i="20"/>
  <c r="L898" i="20"/>
  <c r="E855" i="20"/>
  <c r="N603" i="8"/>
  <c r="P900" i="8"/>
  <c r="P906" i="8" s="1"/>
  <c r="P827" i="8"/>
  <c r="P828" i="8" s="1"/>
  <c r="P1308" i="8" s="1"/>
  <c r="M461" i="20"/>
  <c r="M80" i="20" s="1"/>
  <c r="I563" i="20"/>
  <c r="I135" i="20" s="1"/>
  <c r="G128" i="3"/>
  <c r="H707" i="20" s="1"/>
  <c r="J125" i="3"/>
  <c r="K704" i="20" s="1"/>
  <c r="G257" i="3"/>
  <c r="I548" i="8"/>
  <c r="I131" i="8" s="1"/>
  <c r="F1157" i="8"/>
  <c r="G944" i="8"/>
  <c r="G949" i="8" s="1"/>
  <c r="G404" i="8"/>
  <c r="G416" i="8" s="1"/>
  <c r="G1267" i="8" s="1"/>
  <c r="G1301" i="8" s="1"/>
  <c r="K1122" i="8"/>
  <c r="K312" i="8" s="1"/>
  <c r="E480" i="8"/>
  <c r="E481" i="8" s="1"/>
  <c r="K529" i="20"/>
  <c r="K101" i="20" s="1"/>
  <c r="H1100" i="20"/>
  <c r="H301" i="20" s="1"/>
  <c r="G1172" i="20"/>
  <c r="G1176" i="20" s="1"/>
  <c r="H826" i="20"/>
  <c r="H224" i="20" s="1"/>
  <c r="D53" i="23"/>
  <c r="D54" i="23" s="1"/>
  <c r="P853" i="8"/>
  <c r="P859" i="8" s="1"/>
  <c r="H900" i="8"/>
  <c r="H906" i="8" s="1"/>
  <c r="I827" i="8"/>
  <c r="I828" i="8" s="1"/>
  <c r="I1308" i="8" s="1"/>
  <c r="P480" i="8"/>
  <c r="P88" i="8" s="1"/>
  <c r="H461" i="20"/>
  <c r="H466" i="20" s="1"/>
  <c r="H82" i="20" s="1"/>
  <c r="E257" i="3"/>
  <c r="H463" i="8"/>
  <c r="H81" i="8" s="1"/>
  <c r="F897" i="20"/>
  <c r="M161" i="3"/>
  <c r="D240" i="3"/>
  <c r="G240" i="3"/>
  <c r="L405" i="3"/>
  <c r="M176" i="3"/>
  <c r="G424" i="3"/>
  <c r="G1041" i="20"/>
  <c r="I1042" i="8"/>
  <c r="I1048" i="8" s="1"/>
  <c r="J17" i="23"/>
  <c r="J18" i="23" s="1"/>
  <c r="I1086" i="8"/>
  <c r="I298" i="8" s="1"/>
  <c r="I856" i="8"/>
  <c r="I862" i="8" s="1"/>
  <c r="F855" i="8"/>
  <c r="F861" i="8" s="1"/>
  <c r="M946" i="8"/>
  <c r="M947" i="8" s="1"/>
  <c r="M250" i="8" s="1"/>
  <c r="O784" i="20"/>
  <c r="O197" i="20" s="1"/>
  <c r="M86" i="22" s="1"/>
  <c r="H429" i="8"/>
  <c r="H434" i="8" s="1"/>
  <c r="E207" i="3"/>
  <c r="M207" i="3"/>
  <c r="M826" i="20"/>
  <c r="M224" i="20" s="1"/>
  <c r="M602" i="20"/>
  <c r="K1104" i="8"/>
  <c r="K305" i="8" s="1"/>
  <c r="E899" i="20"/>
  <c r="G855" i="20"/>
  <c r="F901" i="8"/>
  <c r="F907" i="8" s="1"/>
  <c r="I854" i="8"/>
  <c r="I860" i="8" s="1"/>
  <c r="P1122" i="8"/>
  <c r="P312" i="8" s="1"/>
  <c r="P429" i="8"/>
  <c r="P74" i="8" s="1"/>
  <c r="M257" i="3"/>
  <c r="D427" i="3"/>
  <c r="N240" i="3"/>
  <c r="J432" i="3"/>
  <c r="H427" i="3"/>
  <c r="D257" i="3"/>
  <c r="L432" i="3"/>
  <c r="F374" i="3"/>
  <c r="D176" i="3"/>
  <c r="F424" i="3"/>
  <c r="I424" i="3"/>
  <c r="N127" i="3"/>
  <c r="O708" i="8" s="1"/>
  <c r="O714" i="8" s="1"/>
  <c r="J126" i="3"/>
  <c r="K707" i="8" s="1"/>
  <c r="K713" i="8" s="1"/>
  <c r="O176" i="3"/>
  <c r="H117" i="3"/>
  <c r="H169" i="3" s="1"/>
  <c r="I1172" i="20"/>
  <c r="I1176" i="20" s="1"/>
  <c r="F1172" i="20"/>
  <c r="F1176" i="20" s="1"/>
  <c r="N17" i="23"/>
  <c r="N18" i="23" s="1"/>
  <c r="O404" i="8"/>
  <c r="O416" i="8" s="1"/>
  <c r="O1267" i="8" s="1"/>
  <c r="O1301" i="8" s="1"/>
  <c r="P529" i="20"/>
  <c r="P101" i="20" s="1"/>
  <c r="P531" i="8"/>
  <c r="P102" i="8" s="1"/>
  <c r="O161" i="3"/>
  <c r="P784" i="20"/>
  <c r="P197" i="20" s="1"/>
  <c r="N86" i="22" s="1"/>
  <c r="P787" i="8"/>
  <c r="P797" i="8" s="1"/>
  <c r="P1291" i="8" s="1"/>
  <c r="O41" i="23"/>
  <c r="O42" i="23" s="1"/>
  <c r="F604" i="8"/>
  <c r="F602" i="20"/>
  <c r="M603" i="8"/>
  <c r="M601" i="20"/>
  <c r="L764" i="8"/>
  <c r="G1015" i="8"/>
  <c r="G1021" i="8" s="1"/>
  <c r="O401" i="20"/>
  <c r="O66" i="20" s="1"/>
  <c r="I855" i="8"/>
  <c r="I861" i="8" s="1"/>
  <c r="K853" i="8"/>
  <c r="K859" i="8" s="1"/>
  <c r="O766" i="20"/>
  <c r="O192" i="20" s="1"/>
  <c r="I946" i="8"/>
  <c r="I951" i="8" s="1"/>
  <c r="F478" i="20"/>
  <c r="F87" i="20" s="1"/>
  <c r="F480" i="8"/>
  <c r="F481" i="8" s="1"/>
  <c r="L257" i="3"/>
  <c r="J784" i="20"/>
  <c r="J794" i="20" s="1"/>
  <c r="J1289" i="20" s="1"/>
  <c r="I41" i="23"/>
  <c r="I42" i="23" s="1"/>
  <c r="E1082" i="20"/>
  <c r="E294" i="20" s="1"/>
  <c r="E1086" i="8"/>
  <c r="E298" i="8" s="1"/>
  <c r="M1082" i="20"/>
  <c r="M294" i="20" s="1"/>
  <c r="M1086" i="8"/>
  <c r="M1087" i="8" s="1"/>
  <c r="M1104" i="8"/>
  <c r="M1105" i="8" s="1"/>
  <c r="M1100" i="20"/>
  <c r="M301" i="20" s="1"/>
  <c r="P355" i="3"/>
  <c r="E29" i="26" s="1"/>
  <c r="E73" i="26" s="1"/>
  <c r="P201" i="3"/>
  <c r="M432" i="3"/>
  <c r="I432" i="3"/>
  <c r="F240" i="3"/>
  <c r="J240" i="3"/>
  <c r="K427" i="3"/>
  <c r="P315" i="3"/>
  <c r="H432" i="3"/>
  <c r="P381" i="3"/>
  <c r="M405" i="3"/>
  <c r="I405" i="3"/>
  <c r="E405" i="3"/>
  <c r="F405" i="3"/>
  <c r="J405" i="3"/>
  <c r="P175" i="3"/>
  <c r="K854" i="8"/>
  <c r="K860" i="8" s="1"/>
  <c r="K853" i="20"/>
  <c r="K856" i="20" s="1"/>
  <c r="K231" i="20" s="1"/>
  <c r="N852" i="20"/>
  <c r="N853" i="8"/>
  <c r="N859" i="8" s="1"/>
  <c r="L899" i="20"/>
  <c r="L901" i="8"/>
  <c r="L907" i="8" s="1"/>
  <c r="H899" i="8"/>
  <c r="H905" i="8" s="1"/>
  <c r="H897" i="20"/>
  <c r="P1040" i="20"/>
  <c r="O1013" i="20"/>
  <c r="L1016" i="8"/>
  <c r="L1022" i="8" s="1"/>
  <c r="M404" i="8"/>
  <c r="M405" i="8" s="1"/>
  <c r="K898" i="20"/>
  <c r="D207" i="3"/>
  <c r="N898" i="8"/>
  <c r="N904" i="8" s="1"/>
  <c r="J787" i="8"/>
  <c r="J788" i="8" s="1"/>
  <c r="J1289" i="8" s="1"/>
  <c r="G548" i="8"/>
  <c r="G131" i="8" s="1"/>
  <c r="N1086" i="8"/>
  <c r="N298" i="8" s="1"/>
  <c r="N1082" i="20"/>
  <c r="N294" i="20" s="1"/>
  <c r="E159" i="3"/>
  <c r="E161" i="3" s="1"/>
  <c r="N161" i="3"/>
  <c r="J161" i="3"/>
  <c r="F161" i="3"/>
  <c r="M36" i="23"/>
  <c r="I36" i="23"/>
  <c r="P136" i="3"/>
  <c r="E16" i="26" s="1"/>
  <c r="E60" i="26" s="1"/>
  <c r="F36" i="23"/>
  <c r="N36" i="23"/>
  <c r="J427" i="3"/>
  <c r="F257" i="3"/>
  <c r="H618" i="20"/>
  <c r="H619" i="20" s="1"/>
  <c r="H1039" i="20"/>
  <c r="E1218" i="8"/>
  <c r="E1223" i="8" s="1"/>
  <c r="M1041" i="20"/>
  <c r="J1014" i="20"/>
  <c r="D17" i="23"/>
  <c r="D18" i="23" s="1"/>
  <c r="I621" i="8"/>
  <c r="I152" i="8" s="1"/>
  <c r="H1118" i="20"/>
  <c r="H308" i="20" s="1"/>
  <c r="H899" i="20"/>
  <c r="L463" i="8"/>
  <c r="L81" i="8" s="1"/>
  <c r="N429" i="8"/>
  <c r="N74" i="8" s="1"/>
  <c r="F531" i="8"/>
  <c r="F102" i="8" s="1"/>
  <c r="F529" i="20"/>
  <c r="F530" i="20" s="1"/>
  <c r="E546" i="20"/>
  <c r="E547" i="20" s="1"/>
  <c r="E548" i="8"/>
  <c r="E549" i="8" s="1"/>
  <c r="G1214" i="20"/>
  <c r="F1016" i="8"/>
  <c r="F1022" i="8" s="1"/>
  <c r="O298" i="8"/>
  <c r="K404" i="8"/>
  <c r="K67" i="8" s="1"/>
  <c r="O17" i="23"/>
  <c r="O18" i="23" s="1"/>
  <c r="G401" i="20"/>
  <c r="G66" i="20" s="1"/>
  <c r="O787" i="8"/>
  <c r="O792" i="8" s="1"/>
  <c r="O1290" i="8" s="1"/>
  <c r="N946" i="8"/>
  <c r="N951" i="8" s="1"/>
  <c r="O601" i="20"/>
  <c r="P22" i="3"/>
  <c r="E21" i="26" s="1"/>
  <c r="E65" i="26" s="1"/>
  <c r="P855" i="20"/>
  <c r="G946" i="8"/>
  <c r="G951" i="8" s="1"/>
  <c r="M426" i="20"/>
  <c r="M73" i="20" s="1"/>
  <c r="L618" i="20"/>
  <c r="L149" i="20" s="1"/>
  <c r="G36" i="23"/>
  <c r="L427" i="3"/>
  <c r="N207" i="3"/>
  <c r="K240" i="3"/>
  <c r="L240" i="3"/>
  <c r="N374" i="3"/>
  <c r="J374" i="3"/>
  <c r="E374" i="3"/>
  <c r="I374" i="3"/>
  <c r="M374" i="3"/>
  <c r="L176" i="3"/>
  <c r="H176" i="3"/>
  <c r="N424" i="3"/>
  <c r="N117" i="3"/>
  <c r="P706" i="20"/>
  <c r="J319" i="8"/>
  <c r="M1017" i="8"/>
  <c r="M1023" i="8" s="1"/>
  <c r="H1043" i="8"/>
  <c r="H1049" i="8" s="1"/>
  <c r="J498" i="8"/>
  <c r="G1016" i="8"/>
  <c r="G1022" i="8" s="1"/>
  <c r="K828" i="8"/>
  <c r="K1308" i="8" s="1"/>
  <c r="E479" i="20"/>
  <c r="E127" i="3"/>
  <c r="F708" i="8" s="1"/>
  <c r="F714" i="8" s="1"/>
  <c r="I1041" i="20"/>
  <c r="P837" i="20"/>
  <c r="P1308" i="20" s="1"/>
  <c r="P1328" i="20" s="1"/>
  <c r="K128" i="3"/>
  <c r="L707" i="20" s="1"/>
  <c r="H1041" i="20"/>
  <c r="N1012" i="20"/>
  <c r="O1040" i="20"/>
  <c r="F1015" i="8"/>
  <c r="F1021" i="8" s="1"/>
  <c r="I315" i="20"/>
  <c r="M41" i="23"/>
  <c r="M42" i="23" s="1"/>
  <c r="N787" i="8"/>
  <c r="N201" i="8" s="1"/>
  <c r="L38" i="22" s="1"/>
  <c r="N784" i="20"/>
  <c r="N197" i="20" s="1"/>
  <c r="L86" i="22" s="1"/>
  <c r="O478" i="20"/>
  <c r="O480" i="8"/>
  <c r="O88" i="8" s="1"/>
  <c r="K426" i="20"/>
  <c r="K73" i="20" s="1"/>
  <c r="J53" i="23"/>
  <c r="J54" i="23" s="1"/>
  <c r="K429" i="8"/>
  <c r="K434" i="8" s="1"/>
  <c r="J478" i="20"/>
  <c r="J479" i="20" s="1"/>
  <c r="J480" i="8"/>
  <c r="J88" i="8" s="1"/>
  <c r="L497" i="8"/>
  <c r="L95" i="8" s="1"/>
  <c r="L495" i="20"/>
  <c r="L94" i="20" s="1"/>
  <c r="F427" i="3"/>
  <c r="F207" i="3"/>
  <c r="E240" i="3"/>
  <c r="P228" i="3"/>
  <c r="P295" i="3"/>
  <c r="P174" i="3"/>
  <c r="P423" i="3"/>
  <c r="P247" i="3"/>
  <c r="O257" i="3"/>
  <c r="P370" i="3"/>
  <c r="E603" i="8"/>
  <c r="E601" i="20"/>
  <c r="P764" i="8"/>
  <c r="F856" i="8"/>
  <c r="F862" i="8" s="1"/>
  <c r="F855" i="20"/>
  <c r="M855" i="8"/>
  <c r="M861" i="8" s="1"/>
  <c r="M854" i="20"/>
  <c r="P853" i="20"/>
  <c r="P854" i="8"/>
  <c r="P860" i="8" s="1"/>
  <c r="O898" i="20"/>
  <c r="O900" i="8"/>
  <c r="O906" i="8" s="1"/>
  <c r="M897" i="20"/>
  <c r="M899" i="8"/>
  <c r="M905" i="8" s="1"/>
  <c r="I897" i="20"/>
  <c r="I899" i="8"/>
  <c r="I905" i="8" s="1"/>
  <c r="P897" i="20"/>
  <c r="P899" i="8"/>
  <c r="P905" i="8" s="1"/>
  <c r="E1172" i="20"/>
  <c r="E1176" i="20" s="1"/>
  <c r="E1176" i="8"/>
  <c r="E1180" i="8" s="1"/>
  <c r="F1175" i="8"/>
  <c r="F1177" i="8" s="1"/>
  <c r="F326" i="8" s="1"/>
  <c r="F1171" i="20"/>
  <c r="F1175" i="20" s="1"/>
  <c r="G826" i="20"/>
  <c r="G224" i="20" s="1"/>
  <c r="G427" i="3"/>
  <c r="H854" i="8"/>
  <c r="H860" i="8" s="1"/>
  <c r="N856" i="8"/>
  <c r="N862" i="8" s="1"/>
  <c r="L548" i="8"/>
  <c r="L549" i="8" s="1"/>
  <c r="G896" i="20"/>
  <c r="E900" i="8"/>
  <c r="E906" i="8" s="1"/>
  <c r="G766" i="20"/>
  <c r="G192" i="20" s="1"/>
  <c r="I240" i="3"/>
  <c r="N1171" i="20"/>
  <c r="N1175" i="20" s="1"/>
  <c r="M1176" i="8"/>
  <c r="M1180" i="8" s="1"/>
  <c r="E432" i="3"/>
  <c r="E424" i="3"/>
  <c r="J604" i="8"/>
  <c r="K898" i="8"/>
  <c r="K904" i="8" s="1"/>
  <c r="G852" i="20"/>
  <c r="F787" i="8"/>
  <c r="F788" i="8" s="1"/>
  <c r="F1289" i="8" s="1"/>
  <c r="F784" i="20"/>
  <c r="F197" i="20" s="1"/>
  <c r="D86" i="22" s="1"/>
  <c r="F565" i="8"/>
  <c r="F138" i="8" s="1"/>
  <c r="F563" i="20"/>
  <c r="F135" i="20" s="1"/>
  <c r="E602" i="20"/>
  <c r="E604" i="8"/>
  <c r="P601" i="20"/>
  <c r="P603" i="8"/>
  <c r="L601" i="20"/>
  <c r="L603" i="8"/>
  <c r="N762" i="8"/>
  <c r="N766" i="20"/>
  <c r="N192" i="20" s="1"/>
  <c r="F769" i="8"/>
  <c r="F196" i="8" s="1"/>
  <c r="F766" i="20"/>
  <c r="F192" i="20" s="1"/>
  <c r="M855" i="20"/>
  <c r="M856" i="8"/>
  <c r="M862" i="8" s="1"/>
  <c r="P855" i="8"/>
  <c r="P861" i="8" s="1"/>
  <c r="P854" i="20"/>
  <c r="H855" i="8"/>
  <c r="H861" i="8" s="1"/>
  <c r="H854" i="20"/>
  <c r="G854" i="8"/>
  <c r="G860" i="8" s="1"/>
  <c r="G853" i="20"/>
  <c r="F852" i="20"/>
  <c r="F853" i="8"/>
  <c r="F859" i="8" s="1"/>
  <c r="N900" i="8"/>
  <c r="N906" i="8" s="1"/>
  <c r="N898" i="20"/>
  <c r="L897" i="20"/>
  <c r="L899" i="8"/>
  <c r="L905" i="8" s="1"/>
  <c r="O944" i="8"/>
  <c r="O949" i="8" s="1"/>
  <c r="O941" i="20"/>
  <c r="L655" i="20"/>
  <c r="P1015" i="8"/>
  <c r="P1021" i="8" s="1"/>
  <c r="N67" i="8"/>
  <c r="N409" i="8"/>
  <c r="N69" i="8" s="1"/>
  <c r="I17" i="23"/>
  <c r="I18" i="23" s="1"/>
  <c r="O853" i="20"/>
  <c r="O429" i="8"/>
  <c r="O434" i="8" s="1"/>
  <c r="E495" i="20"/>
  <c r="E94" i="20" s="1"/>
  <c r="L1176" i="8"/>
  <c r="L1180" i="8" s="1"/>
  <c r="M1175" i="8"/>
  <c r="O896" i="20"/>
  <c r="H764" i="8"/>
  <c r="I461" i="20"/>
  <c r="I80" i="20" s="1"/>
  <c r="H424" i="3"/>
  <c r="P397" i="3"/>
  <c r="M240" i="3"/>
  <c r="F898" i="20"/>
  <c r="L854" i="20"/>
  <c r="J898" i="20"/>
  <c r="P946" i="8"/>
  <c r="P951" i="8" s="1"/>
  <c r="P252" i="3"/>
  <c r="G787" i="8"/>
  <c r="G797" i="8" s="1"/>
  <c r="G1291" i="8" s="1"/>
  <c r="F41" i="23"/>
  <c r="F42" i="23" s="1"/>
  <c r="N602" i="20"/>
  <c r="M901" i="8"/>
  <c r="M907" i="8" s="1"/>
  <c r="I899" i="20"/>
  <c r="G1100" i="20"/>
  <c r="G301" i="20" s="1"/>
  <c r="G1104" i="8"/>
  <c r="G305" i="8" s="1"/>
  <c r="K461" i="20"/>
  <c r="K80" i="20" s="1"/>
  <c r="K463" i="8"/>
  <c r="K81" i="8" s="1"/>
  <c r="J855" i="20"/>
  <c r="K1082" i="20"/>
  <c r="K294" i="20" s="1"/>
  <c r="K1086" i="8"/>
  <c r="J1171" i="20"/>
  <c r="J1175" i="20" s="1"/>
  <c r="G159" i="3"/>
  <c r="G161" i="3" s="1"/>
  <c r="G898" i="20"/>
  <c r="O427" i="3"/>
  <c r="O207" i="3"/>
  <c r="L656" i="20"/>
  <c r="O427" i="20"/>
  <c r="K941" i="20"/>
  <c r="K944" i="20" s="1"/>
  <c r="K245" i="20" s="1"/>
  <c r="H944" i="8"/>
  <c r="H949" i="8" s="1"/>
  <c r="G176" i="3"/>
  <c r="N53" i="23"/>
  <c r="N54" i="23" s="1"/>
  <c r="F176" i="3"/>
  <c r="G531" i="8"/>
  <c r="G102" i="8" s="1"/>
  <c r="K760" i="8"/>
  <c r="M179" i="3"/>
  <c r="L853" i="20"/>
  <c r="J207" i="3"/>
  <c r="K257" i="3"/>
  <c r="E853" i="20"/>
  <c r="P401" i="3"/>
  <c r="L944" i="8"/>
  <c r="L949" i="8" s="1"/>
  <c r="G784" i="20"/>
  <c r="G197" i="20" s="1"/>
  <c r="E86" i="22" s="1"/>
  <c r="L1118" i="20"/>
  <c r="L308" i="20" s="1"/>
  <c r="E41" i="23"/>
  <c r="E42" i="23" s="1"/>
  <c r="I603" i="8"/>
  <c r="N826" i="20"/>
  <c r="N224" i="20" s="1"/>
  <c r="N827" i="8"/>
  <c r="N828" i="8" s="1"/>
  <c r="N1308" i="8" s="1"/>
  <c r="E854" i="20"/>
  <c r="E618" i="20"/>
  <c r="E621" i="8"/>
  <c r="E152" i="8" s="1"/>
  <c r="G1153" i="20"/>
  <c r="G315" i="20"/>
  <c r="N709" i="8"/>
  <c r="N715" i="8" s="1"/>
  <c r="N707" i="20"/>
  <c r="J128" i="3"/>
  <c r="K707" i="20" s="1"/>
  <c r="J127" i="3"/>
  <c r="K708" i="8" s="1"/>
  <c r="K714" i="8" s="1"/>
  <c r="F127" i="3"/>
  <c r="G708" i="8" s="1"/>
  <c r="G714" i="8" s="1"/>
  <c r="F126" i="3"/>
  <c r="G707" i="8" s="1"/>
  <c r="G713" i="8" s="1"/>
  <c r="O1012" i="20"/>
  <c r="O1015" i="8"/>
  <c r="O1021" i="8" s="1"/>
  <c r="F301" i="3"/>
  <c r="F307" i="3" s="1"/>
  <c r="P495" i="20"/>
  <c r="P94" i="20" s="1"/>
  <c r="P497" i="8"/>
  <c r="P618" i="20"/>
  <c r="P619" i="20" s="1"/>
  <c r="P621" i="8"/>
  <c r="P152" i="8" s="1"/>
  <c r="K546" i="20"/>
  <c r="K128" i="20" s="1"/>
  <c r="K548" i="8"/>
  <c r="K131" i="8" s="1"/>
  <c r="O563" i="20"/>
  <c r="O135" i="20" s="1"/>
  <c r="O565" i="8"/>
  <c r="O138" i="8" s="1"/>
  <c r="G1082" i="20"/>
  <c r="G294" i="20" s="1"/>
  <c r="G1086" i="8"/>
  <c r="G298" i="8" s="1"/>
  <c r="I1122" i="8"/>
  <c r="I312" i="8" s="1"/>
  <c r="I1118" i="20"/>
  <c r="I308" i="20" s="1"/>
  <c r="P360" i="3"/>
  <c r="E30" i="26" s="1"/>
  <c r="E74" i="26" s="1"/>
  <c r="H127" i="3"/>
  <c r="I706" i="20" s="1"/>
  <c r="H126" i="3"/>
  <c r="D321" i="3"/>
  <c r="D327" i="3" s="1"/>
  <c r="O47" i="23"/>
  <c r="O48" i="23" s="1"/>
  <c r="P463" i="8"/>
  <c r="P81" i="8" s="1"/>
  <c r="H152" i="8"/>
  <c r="I481" i="8"/>
  <c r="N432" i="3"/>
  <c r="J529" i="20"/>
  <c r="J101" i="20" s="1"/>
  <c r="I853" i="8"/>
  <c r="I859" i="8" s="1"/>
  <c r="M53" i="23"/>
  <c r="M54" i="23" s="1"/>
  <c r="O901" i="8"/>
  <c r="O907" i="8" s="1"/>
  <c r="E769" i="8"/>
  <c r="E196" i="8" s="1"/>
  <c r="O546" i="20"/>
  <c r="O547" i="20" s="1"/>
  <c r="P461" i="20"/>
  <c r="P80" i="20" s="1"/>
  <c r="K495" i="20"/>
  <c r="K94" i="20" s="1"/>
  <c r="I478" i="20"/>
  <c r="I87" i="20" s="1"/>
  <c r="I495" i="20"/>
  <c r="I94" i="20" s="1"/>
  <c r="I497" i="8"/>
  <c r="I95" i="8" s="1"/>
  <c r="H257" i="3"/>
  <c r="G127" i="3"/>
  <c r="H708" i="8" s="1"/>
  <c r="H714" i="8" s="1"/>
  <c r="G126" i="3"/>
  <c r="H707" i="8" s="1"/>
  <c r="H713" i="8" s="1"/>
  <c r="N125" i="3"/>
  <c r="O704" i="20" s="1"/>
  <c r="P548" i="8"/>
  <c r="P549" i="8" s="1"/>
  <c r="P546" i="20"/>
  <c r="P128" i="20" s="1"/>
  <c r="I257" i="3"/>
  <c r="L36" i="23"/>
  <c r="D36" i="23"/>
  <c r="K374" i="3"/>
  <c r="H405" i="3"/>
  <c r="D405" i="3"/>
  <c r="F128" i="3"/>
  <c r="L126" i="3"/>
  <c r="M705" i="20" s="1"/>
  <c r="E126" i="3"/>
  <c r="N427" i="3"/>
  <c r="O424" i="3"/>
  <c r="P113" i="3"/>
  <c r="E117" i="3"/>
  <c r="E169" i="3" s="1"/>
  <c r="F117" i="3"/>
  <c r="G117" i="3"/>
  <c r="I117" i="3"/>
  <c r="J169" i="3"/>
  <c r="K117" i="3"/>
  <c r="K169" i="3" s="1"/>
  <c r="P116" i="3"/>
  <c r="M101" i="20"/>
  <c r="M530" i="20"/>
  <c r="G659" i="8"/>
  <c r="G665" i="8" s="1"/>
  <c r="G656" i="20"/>
  <c r="K658" i="8"/>
  <c r="K664" i="8" s="1"/>
  <c r="K655" i="20"/>
  <c r="K498" i="8"/>
  <c r="K95" i="8"/>
  <c r="J532" i="8"/>
  <c r="J102" i="8"/>
  <c r="K125" i="3"/>
  <c r="L704" i="20" s="1"/>
  <c r="K123" i="3"/>
  <c r="K170" i="3" s="1"/>
  <c r="G123" i="3"/>
  <c r="G170" i="3" s="1"/>
  <c r="E1044" i="8"/>
  <c r="E1050" i="8" s="1"/>
  <c r="E1041" i="20"/>
  <c r="N656" i="20"/>
  <c r="N659" i="8"/>
  <c r="N665" i="8" s="1"/>
  <c r="O549" i="8"/>
  <c r="O131" i="8"/>
  <c r="G657" i="8"/>
  <c r="G663" i="8" s="1"/>
  <c r="G654" i="20"/>
  <c r="H1013" i="20"/>
  <c r="J1042" i="20"/>
  <c r="G1014" i="20"/>
  <c r="G1015" i="20" s="1"/>
  <c r="G259" i="20" s="1"/>
  <c r="M301" i="3"/>
  <c r="M307" i="3" s="1"/>
  <c r="N1014" i="20"/>
  <c r="L67" i="8"/>
  <c r="M653" i="20"/>
  <c r="J123" i="3"/>
  <c r="J170" i="3" s="1"/>
  <c r="I301" i="3"/>
  <c r="I307" i="3" s="1"/>
  <c r="K1040" i="20"/>
  <c r="M123" i="3"/>
  <c r="K1157" i="8"/>
  <c r="F123" i="3"/>
  <c r="F170" i="3" s="1"/>
  <c r="K66" i="20"/>
  <c r="M434" i="8"/>
  <c r="G622" i="8"/>
  <c r="I1175" i="20"/>
  <c r="E73" i="20"/>
  <c r="M430" i="8"/>
  <c r="I305" i="8"/>
  <c r="N405" i="8"/>
  <c r="N704" i="20"/>
  <c r="O1042" i="20"/>
  <c r="O1045" i="8"/>
  <c r="O1051" i="8" s="1"/>
  <c r="M1043" i="8"/>
  <c r="M1049" i="8" s="1"/>
  <c r="M1040" i="20"/>
  <c r="F1014" i="8"/>
  <c r="F1020" i="8" s="1"/>
  <c r="F1011" i="20"/>
  <c r="G90" i="3"/>
  <c r="G165" i="3" s="1"/>
  <c r="H1157" i="8"/>
  <c r="H319" i="8"/>
  <c r="G101" i="20"/>
  <c r="G530" i="20"/>
  <c r="E319" i="8"/>
  <c r="E1157" i="8"/>
  <c r="L305" i="3"/>
  <c r="L301" i="3"/>
  <c r="L307" i="3" s="1"/>
  <c r="O970" i="20"/>
  <c r="O973" i="8"/>
  <c r="O978" i="8" s="1"/>
  <c r="P654" i="20"/>
  <c r="P657" i="8"/>
  <c r="P663" i="8" s="1"/>
  <c r="M658" i="8"/>
  <c r="M664" i="8" s="1"/>
  <c r="P67" i="8"/>
  <c r="N1014" i="8"/>
  <c r="N1020" i="8" s="1"/>
  <c r="F653" i="20"/>
  <c r="P707" i="20"/>
  <c r="J1044" i="8"/>
  <c r="J1050" i="8" s="1"/>
  <c r="G1045" i="8"/>
  <c r="G1051" i="8" s="1"/>
  <c r="H653" i="20"/>
  <c r="D386" i="3"/>
  <c r="D391" i="3" s="1"/>
  <c r="E498" i="8"/>
  <c r="H1123" i="8"/>
  <c r="K653" i="20"/>
  <c r="E653" i="20"/>
  <c r="I656" i="20"/>
  <c r="F1039" i="20"/>
  <c r="G1014" i="8"/>
  <c r="G1020" i="8" s="1"/>
  <c r="F1044" i="8"/>
  <c r="F1050" i="8" s="1"/>
  <c r="L321" i="3"/>
  <c r="L327" i="3" s="1"/>
  <c r="N1044" i="8"/>
  <c r="N1050" i="8" s="1"/>
  <c r="L1216" i="8"/>
  <c r="L1221" i="8" s="1"/>
  <c r="L1012" i="20"/>
  <c r="F658" i="8"/>
  <c r="F664" i="8" s="1"/>
  <c r="I319" i="8"/>
  <c r="M1157" i="8"/>
  <c r="L532" i="8"/>
  <c r="P970" i="20"/>
  <c r="D324" i="3"/>
  <c r="E1040" i="20" s="1"/>
  <c r="K622" i="8"/>
  <c r="G828" i="8"/>
  <c r="G1308" i="8" s="1"/>
  <c r="G838" i="8"/>
  <c r="G1310" i="8" s="1"/>
  <c r="G1330" i="8" s="1"/>
  <c r="I789" i="20"/>
  <c r="I199" i="20" s="1"/>
  <c r="I197" i="20"/>
  <c r="G86" i="22" s="1"/>
  <c r="J1177" i="8"/>
  <c r="J326" i="8" s="1"/>
  <c r="G658" i="8"/>
  <c r="G664" i="8" s="1"/>
  <c r="G655" i="20"/>
  <c r="H654" i="20"/>
  <c r="H657" i="8"/>
  <c r="H663" i="8" s="1"/>
  <c r="H1012" i="20"/>
  <c r="K1016" i="8"/>
  <c r="K1022" i="8" s="1"/>
  <c r="K1017" i="8"/>
  <c r="K1023" i="8" s="1"/>
  <c r="N1013" i="20"/>
  <c r="P566" i="8"/>
  <c r="N481" i="8"/>
  <c r="L305" i="8"/>
  <c r="K1042" i="20"/>
  <c r="P658" i="8"/>
  <c r="P664" i="8" s="1"/>
  <c r="O658" i="8"/>
  <c r="O664" i="8" s="1"/>
  <c r="F66" i="20"/>
  <c r="J315" i="20"/>
  <c r="P1175" i="20"/>
  <c r="G1242" i="20"/>
  <c r="P1157" i="8"/>
  <c r="O149" i="20"/>
  <c r="O619" i="20"/>
  <c r="K757" i="20"/>
  <c r="K190" i="20" s="1"/>
  <c r="O319" i="8"/>
  <c r="O1157" i="8"/>
  <c r="G319" i="8"/>
  <c r="Q1156" i="8"/>
  <c r="H102" i="8"/>
  <c r="H532" i="8"/>
  <c r="I1180" i="8"/>
  <c r="J757" i="20"/>
  <c r="J190" i="20" s="1"/>
  <c r="M1123" i="8"/>
  <c r="M312" i="8"/>
  <c r="H828" i="8"/>
  <c r="H1308" i="8" s="1"/>
  <c r="H229" i="8"/>
  <c r="O102" i="8"/>
  <c r="O532" i="8"/>
  <c r="H131" i="8"/>
  <c r="H549" i="8"/>
  <c r="L152" i="8"/>
  <c r="L622" i="8"/>
  <c r="L312" i="8"/>
  <c r="L1123" i="8"/>
  <c r="E36" i="23"/>
  <c r="L319" i="8"/>
  <c r="L1157" i="8"/>
  <c r="K315" i="20"/>
  <c r="K1153" i="20"/>
  <c r="O315" i="20"/>
  <c r="O1153" i="20"/>
  <c r="E766" i="20"/>
  <c r="E192" i="20" s="1"/>
  <c r="F764" i="8"/>
  <c r="K102" i="8"/>
  <c r="G1246" i="8"/>
  <c r="O498" i="8"/>
  <c r="F1180" i="8"/>
  <c r="M549" i="8"/>
  <c r="E406" i="20"/>
  <c r="E68" i="20" s="1"/>
  <c r="I67" i="8"/>
  <c r="I405" i="8"/>
  <c r="G944" i="20"/>
  <c r="G245" i="20" s="1"/>
  <c r="J599" i="20"/>
  <c r="J142" i="20" s="1"/>
  <c r="J601" i="20"/>
  <c r="P762" i="8"/>
  <c r="I856" i="20"/>
  <c r="I231" i="20" s="1"/>
  <c r="M1173" i="20"/>
  <c r="M322" i="20" s="1"/>
  <c r="N944" i="20"/>
  <c r="N245" i="20" s="1"/>
  <c r="P479" i="20"/>
  <c r="P1042" i="8"/>
  <c r="P1048" i="8" s="1"/>
  <c r="P1039" i="20"/>
  <c r="G769" i="8"/>
  <c r="G196" i="8" s="1"/>
  <c r="G762" i="8"/>
  <c r="F298" i="8"/>
  <c r="F1087" i="8"/>
  <c r="I1011" i="20"/>
  <c r="I1042" i="20"/>
  <c r="G760" i="8"/>
  <c r="G194" i="8" s="1"/>
  <c r="O769" i="8"/>
  <c r="O196" i="8" s="1"/>
  <c r="H970" i="20"/>
  <c r="K1012" i="20"/>
  <c r="K1015" i="8"/>
  <c r="K1021" i="8" s="1"/>
  <c r="L409" i="8"/>
  <c r="L69" i="8" s="1"/>
  <c r="L416" i="8"/>
  <c r="L1267" i="8" s="1"/>
  <c r="L1301" i="8" s="1"/>
  <c r="I658" i="8"/>
  <c r="I664" i="8" s="1"/>
  <c r="I655" i="20"/>
  <c r="F601" i="20"/>
  <c r="I657" i="8"/>
  <c r="I663" i="8" s="1"/>
  <c r="I654" i="20"/>
  <c r="N1153" i="20"/>
  <c r="N315" i="20"/>
  <c r="E1239" i="20"/>
  <c r="E356" i="20" s="1"/>
  <c r="E1241" i="20"/>
  <c r="I416" i="8"/>
  <c r="I1267" i="8" s="1"/>
  <c r="I1301" i="8" s="1"/>
  <c r="I409" i="8"/>
  <c r="I69" i="8" s="1"/>
  <c r="E102" i="8"/>
  <c r="E532" i="8"/>
  <c r="J1012" i="20"/>
  <c r="L1043" i="8"/>
  <c r="L1049" i="8" s="1"/>
  <c r="F269" i="3"/>
  <c r="F274" i="3" s="1"/>
  <c r="N905" i="8"/>
  <c r="M828" i="8"/>
  <c r="M1308" i="8" s="1"/>
  <c r="E764" i="8"/>
  <c r="J1179" i="8"/>
  <c r="E1175" i="20"/>
  <c r="F619" i="20"/>
  <c r="G656" i="8"/>
  <c r="G662" i="8" s="1"/>
  <c r="N73" i="20"/>
  <c r="N431" i="20"/>
  <c r="N75" i="20" s="1"/>
  <c r="L1153" i="20"/>
  <c r="L315" i="20"/>
  <c r="Q1152" i="20"/>
  <c r="N269" i="3"/>
  <c r="N274" i="3" s="1"/>
  <c r="E1221" i="8"/>
  <c r="M269" i="3"/>
  <c r="M274" i="3" s="1"/>
  <c r="M273" i="3"/>
  <c r="N973" i="8" s="1"/>
  <c r="M1012" i="20"/>
  <c r="E1039" i="20"/>
  <c r="E1042" i="8"/>
  <c r="E1048" i="8" s="1"/>
  <c r="O1039" i="20"/>
  <c r="O1042" i="8"/>
  <c r="O1048" i="8" s="1"/>
  <c r="N1214" i="20"/>
  <c r="N1218" i="8"/>
  <c r="N1223" i="8" s="1"/>
  <c r="H1176" i="20"/>
  <c r="E1011" i="20"/>
  <c r="E1213" i="20"/>
  <c r="E1014" i="20"/>
  <c r="E1017" i="8"/>
  <c r="E1023" i="8" s="1"/>
  <c r="P1017" i="8"/>
  <c r="P1023" i="8" s="1"/>
  <c r="P1014" i="20"/>
  <c r="J971" i="8"/>
  <c r="N706" i="20"/>
  <c r="H784" i="20"/>
  <c r="H794" i="20" s="1"/>
  <c r="H1289" i="20" s="1"/>
  <c r="P141" i="3"/>
  <c r="E17" i="26" s="1"/>
  <c r="E61" i="26" s="1"/>
  <c r="G41" i="23"/>
  <c r="G42" i="23" s="1"/>
  <c r="H787" i="8"/>
  <c r="H792" i="8" s="1"/>
  <c r="O827" i="8"/>
  <c r="O838" i="8" s="1"/>
  <c r="O826" i="20"/>
  <c r="O224" i="20" s="1"/>
  <c r="L1082" i="20"/>
  <c r="L294" i="20" s="1"/>
  <c r="L1086" i="8"/>
  <c r="O943" i="20"/>
  <c r="O946" i="8"/>
  <c r="H943" i="20"/>
  <c r="H944" i="20" s="1"/>
  <c r="H245" i="20" s="1"/>
  <c r="P256" i="3"/>
  <c r="H946" i="8"/>
  <c r="H269" i="3"/>
  <c r="H274" i="3" s="1"/>
  <c r="J1042" i="8"/>
  <c r="J1048" i="8" s="1"/>
  <c r="M88" i="8"/>
  <c r="M481" i="8"/>
  <c r="O859" i="8"/>
  <c r="I531" i="8"/>
  <c r="P42" i="3"/>
  <c r="E20" i="26" s="1"/>
  <c r="E64" i="26" s="1"/>
  <c r="I529" i="20"/>
  <c r="G563" i="20"/>
  <c r="G565" i="8"/>
  <c r="P52" i="3"/>
  <c r="E24" i="26" s="1"/>
  <c r="E68" i="26" s="1"/>
  <c r="M621" i="8"/>
  <c r="M618" i="20"/>
  <c r="I149" i="20"/>
  <c r="I619" i="20"/>
  <c r="P87" i="3"/>
  <c r="E90" i="3"/>
  <c r="E165" i="3" s="1"/>
  <c r="L159" i="3"/>
  <c r="L161" i="3" s="1"/>
  <c r="H159" i="3"/>
  <c r="P71" i="3"/>
  <c r="E25" i="26" s="1"/>
  <c r="E69" i="26" s="1"/>
  <c r="O603" i="8"/>
  <c r="I762" i="8"/>
  <c r="L855" i="20"/>
  <c r="L856" i="8"/>
  <c r="H855" i="20"/>
  <c r="H856" i="8"/>
  <c r="F854" i="8"/>
  <c r="F853" i="20"/>
  <c r="P204" i="3"/>
  <c r="M852" i="20"/>
  <c r="M853" i="8"/>
  <c r="E898" i="8"/>
  <c r="P236" i="3"/>
  <c r="E896" i="20"/>
  <c r="M898" i="20"/>
  <c r="M900" i="8"/>
  <c r="M906" i="8" s="1"/>
  <c r="O899" i="8"/>
  <c r="O897" i="20"/>
  <c r="K897" i="20"/>
  <c r="K899" i="8"/>
  <c r="I904" i="8"/>
  <c r="F944" i="8"/>
  <c r="F941" i="20"/>
  <c r="H1175" i="8"/>
  <c r="H1171" i="20"/>
  <c r="M970" i="20"/>
  <c r="M973" i="8"/>
  <c r="M978" i="8" s="1"/>
  <c r="P1119" i="20"/>
  <c r="J654" i="20"/>
  <c r="P1045" i="8"/>
  <c r="P1051" i="8" s="1"/>
  <c r="M1214" i="20"/>
  <c r="M1045" i="8"/>
  <c r="M1051" i="8" s="1"/>
  <c r="D125" i="3"/>
  <c r="E706" i="8" s="1"/>
  <c r="E712" i="8" s="1"/>
  <c r="N654" i="20"/>
  <c r="O854" i="20"/>
  <c r="J401" i="20"/>
  <c r="J412" i="20" s="1"/>
  <c r="M898" i="8"/>
  <c r="K899" i="20"/>
  <c r="P372" i="3"/>
  <c r="F548" i="8"/>
  <c r="F546" i="20"/>
  <c r="F547" i="20" s="1"/>
  <c r="P47" i="3"/>
  <c r="E23" i="26" s="1"/>
  <c r="E67" i="26" s="1"/>
  <c r="J41" i="23"/>
  <c r="J42" i="23" s="1"/>
  <c r="K787" i="8"/>
  <c r="K792" i="8" s="1"/>
  <c r="K784" i="20"/>
  <c r="K197" i="20" s="1"/>
  <c r="I86" i="22" s="1"/>
  <c r="N81" i="8"/>
  <c r="N464" i="8"/>
  <c r="H478" i="20"/>
  <c r="P32" i="3"/>
  <c r="E18" i="26" s="1"/>
  <c r="E62" i="26" s="1"/>
  <c r="H480" i="8"/>
  <c r="F1104" i="8"/>
  <c r="P337" i="3"/>
  <c r="E28" i="26" s="1"/>
  <c r="E72" i="26" s="1"/>
  <c r="F1100" i="20"/>
  <c r="F301" i="20" s="1"/>
  <c r="L426" i="20"/>
  <c r="L73" i="20" s="1"/>
  <c r="K53" i="23"/>
  <c r="K54" i="23" s="1"/>
  <c r="L429" i="8"/>
  <c r="L434" i="8" s="1"/>
  <c r="O463" i="8"/>
  <c r="O81" i="8" s="1"/>
  <c r="N47" i="23"/>
  <c r="N48" i="23" s="1"/>
  <c r="O461" i="20"/>
  <c r="O462" i="20" s="1"/>
  <c r="F463" i="8"/>
  <c r="P27" i="3"/>
  <c r="E22" i="26" s="1"/>
  <c r="E66" i="26" s="1"/>
  <c r="F461" i="20"/>
  <c r="F80" i="20" s="1"/>
  <c r="L478" i="20"/>
  <c r="L480" i="8"/>
  <c r="M497" i="8"/>
  <c r="M495" i="20"/>
  <c r="H497" i="8"/>
  <c r="P37" i="3"/>
  <c r="E19" i="26" s="1"/>
  <c r="E63" i="26" s="1"/>
  <c r="H404" i="8"/>
  <c r="H416" i="8" s="1"/>
  <c r="H1267" i="8" s="1"/>
  <c r="H1301" i="8" s="1"/>
  <c r="P17" i="3"/>
  <c r="H401" i="20"/>
  <c r="H412" i="20" s="1"/>
  <c r="H1264" i="20" s="1"/>
  <c r="G17" i="23"/>
  <c r="G18" i="23" s="1"/>
  <c r="N529" i="20"/>
  <c r="N531" i="8"/>
  <c r="N548" i="8"/>
  <c r="N546" i="20"/>
  <c r="N128" i="20" s="1"/>
  <c r="J548" i="8"/>
  <c r="J546" i="20"/>
  <c r="J128" i="20" s="1"/>
  <c r="K565" i="8"/>
  <c r="K563" i="20"/>
  <c r="K135" i="20" s="1"/>
  <c r="L117" i="3"/>
  <c r="L169" i="3" s="1"/>
  <c r="P115" i="3"/>
  <c r="K973" i="8"/>
  <c r="K978" i="8" s="1"/>
  <c r="K970" i="20"/>
  <c r="E1045" i="8"/>
  <c r="E1051" i="8" s="1"/>
  <c r="E1042" i="20"/>
  <c r="P1082" i="20"/>
  <c r="P294" i="20" s="1"/>
  <c r="P1086" i="8"/>
  <c r="O432" i="3"/>
  <c r="P366" i="3"/>
  <c r="O374" i="3"/>
  <c r="P422" i="3"/>
  <c r="P315" i="20"/>
  <c r="P1153" i="20"/>
  <c r="P203" i="3"/>
  <c r="E853" i="8"/>
  <c r="E852" i="20"/>
  <c r="G855" i="8"/>
  <c r="G854" i="20"/>
  <c r="P205" i="3"/>
  <c r="J854" i="8"/>
  <c r="J860" i="8" s="1"/>
  <c r="J853" i="20"/>
  <c r="G899" i="20"/>
  <c r="P239" i="3"/>
  <c r="G901" i="8"/>
  <c r="I900" i="8"/>
  <c r="P238" i="3"/>
  <c r="I898" i="20"/>
  <c r="P237" i="3"/>
  <c r="G899" i="8"/>
  <c r="P899" i="20"/>
  <c r="P901" i="8"/>
  <c r="E941" i="20"/>
  <c r="E944" i="8"/>
  <c r="P254" i="3"/>
  <c r="J941" i="20"/>
  <c r="J944" i="20" s="1"/>
  <c r="J245" i="20" s="1"/>
  <c r="J944" i="8"/>
  <c r="O1176" i="8"/>
  <c r="O1172" i="20"/>
  <c r="K1176" i="20"/>
  <c r="K1173" i="20"/>
  <c r="K322" i="20" s="1"/>
  <c r="H1176" i="8"/>
  <c r="P373" i="3"/>
  <c r="L1175" i="8"/>
  <c r="L1171" i="20"/>
  <c r="O269" i="3"/>
  <c r="O274" i="3" s="1"/>
  <c r="N656" i="8"/>
  <c r="N662" i="8" s="1"/>
  <c r="N944" i="8"/>
  <c r="E93" i="3"/>
  <c r="N853" i="20"/>
  <c r="D117" i="3"/>
  <c r="D169" i="3" s="1"/>
  <c r="I896" i="20"/>
  <c r="K1176" i="8"/>
  <c r="P195" i="3"/>
  <c r="E659" i="8"/>
  <c r="E665" i="8" s="1"/>
  <c r="E656" i="20"/>
  <c r="N565" i="8"/>
  <c r="F827" i="8"/>
  <c r="F838" i="8" s="1"/>
  <c r="F826" i="20"/>
  <c r="F224" i="20" s="1"/>
  <c r="P187" i="3"/>
  <c r="E13" i="26" s="1"/>
  <c r="N495" i="20"/>
  <c r="N497" i="8"/>
  <c r="E1153" i="20"/>
  <c r="E315" i="20"/>
  <c r="H315" i="20"/>
  <c r="H1153" i="20"/>
  <c r="F1242" i="20"/>
  <c r="H128" i="3"/>
  <c r="I709" i="8" s="1"/>
  <c r="I715" i="8" s="1"/>
  <c r="L127" i="3"/>
  <c r="K126" i="3"/>
  <c r="O36" i="23"/>
  <c r="P1100" i="20"/>
  <c r="P301" i="20" s="1"/>
  <c r="P1104" i="8"/>
  <c r="P656" i="20"/>
  <c r="P659" i="8"/>
  <c r="P665" i="8" s="1"/>
  <c r="P114" i="3"/>
  <c r="O601" i="8"/>
  <c r="O145" i="8" s="1"/>
  <c r="O602" i="20"/>
  <c r="L762" i="8"/>
  <c r="H766" i="20"/>
  <c r="H192" i="20" s="1"/>
  <c r="P206" i="3"/>
  <c r="O855" i="20"/>
  <c r="O856" i="8"/>
  <c r="O862" i="8" s="1"/>
  <c r="J461" i="20"/>
  <c r="J80" i="20" s="1"/>
  <c r="I47" i="23"/>
  <c r="I48" i="23" s="1"/>
  <c r="J463" i="8"/>
  <c r="J81" i="8" s="1"/>
  <c r="L563" i="20"/>
  <c r="L565" i="8"/>
  <c r="H563" i="20"/>
  <c r="H135" i="20" s="1"/>
  <c r="H565" i="8"/>
  <c r="N618" i="20"/>
  <c r="N621" i="8"/>
  <c r="J621" i="8"/>
  <c r="J618" i="20"/>
  <c r="N93" i="3"/>
  <c r="N90" i="3"/>
  <c r="N165" i="3" s="1"/>
  <c r="J93" i="3"/>
  <c r="J90" i="3"/>
  <c r="J165" i="3" s="1"/>
  <c r="J1118" i="20"/>
  <c r="J308" i="20" s="1"/>
  <c r="J1122" i="8"/>
  <c r="J312" i="8" s="1"/>
  <c r="E784" i="20"/>
  <c r="E794" i="20" s="1"/>
  <c r="E787" i="8"/>
  <c r="E792" i="8" s="1"/>
  <c r="E1290" i="8" s="1"/>
  <c r="L787" i="8"/>
  <c r="L792" i="8" s="1"/>
  <c r="K41" i="23"/>
  <c r="K42" i="23" s="1"/>
  <c r="F621" i="8"/>
  <c r="P76" i="3"/>
  <c r="E26" i="26" s="1"/>
  <c r="E70" i="26" s="1"/>
  <c r="K766" i="20"/>
  <c r="K192" i="20" s="1"/>
  <c r="M47" i="23"/>
  <c r="M48" i="23" s="1"/>
  <c r="N461" i="20"/>
  <c r="N80" i="20" s="1"/>
  <c r="F315" i="20"/>
  <c r="F1153" i="20"/>
  <c r="M315" i="20"/>
  <c r="M1153" i="20"/>
  <c r="K127" i="3"/>
  <c r="G125" i="3"/>
  <c r="I601" i="20"/>
  <c r="F946" i="8"/>
  <c r="F943" i="20"/>
  <c r="I401" i="20"/>
  <c r="I406" i="20" s="1"/>
  <c r="H17" i="23"/>
  <c r="H18" i="23" s="1"/>
  <c r="F1122" i="8"/>
  <c r="F1118" i="20"/>
  <c r="F308" i="20" s="1"/>
  <c r="E1104" i="8"/>
  <c r="E1100" i="20"/>
  <c r="E301" i="20" s="1"/>
  <c r="N1105" i="8"/>
  <c r="F1082" i="20"/>
  <c r="P332" i="3"/>
  <c r="E1118" i="20"/>
  <c r="E308" i="20" s="1"/>
  <c r="E1122" i="8"/>
  <c r="P234" i="3"/>
  <c r="P264" i="3"/>
  <c r="K405" i="3"/>
  <c r="G405" i="3"/>
  <c r="J386" i="3"/>
  <c r="J391" i="3" s="1"/>
  <c r="J388" i="3"/>
  <c r="K1213" i="20" s="1"/>
  <c r="I599" i="20"/>
  <c r="I142" i="20" s="1"/>
  <c r="J852" i="20"/>
  <c r="J853" i="8"/>
  <c r="E899" i="8"/>
  <c r="E897" i="20"/>
  <c r="J896" i="20"/>
  <c r="J898" i="8"/>
  <c r="F896" i="20"/>
  <c r="F898" i="8"/>
  <c r="L943" i="20"/>
  <c r="L944" i="20" s="1"/>
  <c r="L245" i="20" s="1"/>
  <c r="L946" i="8"/>
  <c r="P944" i="8"/>
  <c r="P941" i="20"/>
  <c r="P944" i="20" s="1"/>
  <c r="P245" i="20" s="1"/>
  <c r="F125" i="3"/>
  <c r="J907" i="8"/>
  <c r="I127" i="3"/>
  <c r="I126" i="3"/>
  <c r="N783" i="8"/>
  <c r="N200" i="8" s="1"/>
  <c r="C312" i="2"/>
  <c r="E312" i="2" s="1"/>
  <c r="F784" i="8"/>
  <c r="F1287" i="8" s="1"/>
  <c r="H823" i="8"/>
  <c r="H837" i="8" s="1"/>
  <c r="H1309" i="8" s="1"/>
  <c r="H1329" i="8" s="1"/>
  <c r="E823" i="8"/>
  <c r="E824" i="8" s="1"/>
  <c r="E1306" i="8" s="1"/>
  <c r="C308" i="2"/>
  <c r="E308" i="2" s="1"/>
  <c r="N1040" i="20"/>
  <c r="N1043" i="8"/>
  <c r="N1049" i="8" s="1"/>
  <c r="H1214" i="20"/>
  <c r="H1218" i="8"/>
  <c r="H1223" i="8" s="1"/>
  <c r="N1042" i="20"/>
  <c r="N1045" i="8"/>
  <c r="N1051" i="8" s="1"/>
  <c r="L653" i="20"/>
  <c r="L656" i="8"/>
  <c r="L662" i="8" s="1"/>
  <c r="M709" i="8"/>
  <c r="M715" i="8" s="1"/>
  <c r="M707" i="20"/>
  <c r="O1014" i="20"/>
  <c r="O1017" i="8"/>
  <c r="O1023" i="8" s="1"/>
  <c r="H299" i="3"/>
  <c r="H47" i="5"/>
  <c r="D299" i="3"/>
  <c r="P45" i="5"/>
  <c r="D298" i="3"/>
  <c r="D47" i="5"/>
  <c r="K297" i="3"/>
  <c r="K47" i="5"/>
  <c r="G303" i="3"/>
  <c r="H1014" i="8" s="1"/>
  <c r="G301" i="3"/>
  <c r="N388" i="3"/>
  <c r="N65" i="5"/>
  <c r="F65" i="5"/>
  <c r="P63" i="5"/>
  <c r="P57" i="5"/>
  <c r="D60" i="5"/>
  <c r="I60" i="5"/>
  <c r="I273" i="3"/>
  <c r="E60" i="5"/>
  <c r="L60" i="5"/>
  <c r="I1043" i="8"/>
  <c r="I1049" i="8" s="1"/>
  <c r="L1042" i="20"/>
  <c r="I1214" i="20"/>
  <c r="I1017" i="8"/>
  <c r="I1023" i="8" s="1"/>
  <c r="O707" i="20"/>
  <c r="I54" i="5"/>
  <c r="J653" i="20"/>
  <c r="J656" i="8"/>
  <c r="J662" i="8" s="1"/>
  <c r="J65" i="5"/>
  <c r="P44" i="5"/>
  <c r="M60" i="5"/>
  <c r="H90" i="3"/>
  <c r="H165" i="3" s="1"/>
  <c r="H92" i="3"/>
  <c r="D94" i="3"/>
  <c r="P88" i="3"/>
  <c r="I95" i="3"/>
  <c r="P89" i="3"/>
  <c r="I90" i="3"/>
  <c r="I165" i="3" s="1"/>
  <c r="M94" i="3"/>
  <c r="M90" i="3"/>
  <c r="M165" i="3" s="1"/>
  <c r="J271" i="3"/>
  <c r="K971" i="8" s="1"/>
  <c r="K974" i="8" s="1"/>
  <c r="J269" i="3"/>
  <c r="P51" i="5"/>
  <c r="F318" i="3"/>
  <c r="F324" i="3" s="1"/>
  <c r="M317" i="3"/>
  <c r="M54" i="5"/>
  <c r="P33" i="5"/>
  <c r="E40" i="5"/>
  <c r="E119" i="3"/>
  <c r="P36" i="5"/>
  <c r="E300" i="3"/>
  <c r="P46" i="5"/>
  <c r="E47" i="5"/>
  <c r="N1210" i="8"/>
  <c r="N1212" i="8" s="1"/>
  <c r="N1207" i="20"/>
  <c r="N348" i="20" s="1"/>
  <c r="P64" i="5"/>
  <c r="O390" i="3" s="1"/>
  <c r="E65" i="5"/>
  <c r="H388" i="3"/>
  <c r="H386" i="3"/>
  <c r="H391" i="3" s="1"/>
  <c r="G320" i="3"/>
  <c r="P53" i="5"/>
  <c r="N319" i="3"/>
  <c r="P319" i="3" s="1"/>
  <c r="N54" i="5"/>
  <c r="I324" i="3"/>
  <c r="I321" i="3"/>
  <c r="I327" i="3" s="1"/>
  <c r="P17" i="5"/>
  <c r="G22" i="5"/>
  <c r="G24" i="5" s="1"/>
  <c r="K1044" i="8"/>
  <c r="K1050" i="8" s="1"/>
  <c r="H321" i="3"/>
  <c r="F1213" i="20"/>
  <c r="P52" i="5"/>
  <c r="L93" i="3"/>
  <c r="M654" i="20" s="1"/>
  <c r="L90" i="3"/>
  <c r="L165" i="3" s="1"/>
  <c r="D93" i="3"/>
  <c r="D90" i="3"/>
  <c r="D165" i="3" s="1"/>
  <c r="M22" i="5"/>
  <c r="M24" i="5" s="1"/>
  <c r="M182" i="2"/>
  <c r="N935" i="20" s="1"/>
  <c r="E128" i="3"/>
  <c r="P122" i="3"/>
  <c r="D121" i="3"/>
  <c r="P38" i="5"/>
  <c r="D120" i="3"/>
  <c r="P37" i="5"/>
  <c r="D40" i="5"/>
  <c r="L119" i="3"/>
  <c r="L40" i="5"/>
  <c r="H119" i="3"/>
  <c r="H40" i="5"/>
  <c r="K269" i="3"/>
  <c r="K273" i="3"/>
  <c r="K317" i="3"/>
  <c r="K54" i="5"/>
  <c r="O119" i="3"/>
  <c r="O40" i="5"/>
  <c r="O299" i="3"/>
  <c r="O47" i="5"/>
  <c r="O325" i="3"/>
  <c r="O321" i="3"/>
  <c r="P86" i="3"/>
  <c r="F90" i="3"/>
  <c r="F165" i="3" s="1"/>
  <c r="O656" i="8"/>
  <c r="O662" i="8" s="1"/>
  <c r="O653" i="20"/>
  <c r="K90" i="3"/>
  <c r="K165" i="3" s="1"/>
  <c r="H659" i="8"/>
  <c r="H665" i="8" s="1"/>
  <c r="H656" i="20"/>
  <c r="P39" i="5"/>
  <c r="N40" i="5"/>
  <c r="N120" i="3"/>
  <c r="K65" i="5"/>
  <c r="G388" i="3"/>
  <c r="G386" i="3"/>
  <c r="G391" i="3" s="1"/>
  <c r="O92" i="3"/>
  <c r="O90" i="3"/>
  <c r="O165" i="3" s="1"/>
  <c r="P976" i="8"/>
  <c r="G60" i="5"/>
  <c r="H655" i="20"/>
  <c r="H658" i="8"/>
  <c r="I119" i="3"/>
  <c r="I40" i="5"/>
  <c r="N297" i="3"/>
  <c r="N47" i="5"/>
  <c r="J297" i="3"/>
  <c r="J47" i="5"/>
  <c r="M65" i="5"/>
  <c r="I65" i="5"/>
  <c r="J317" i="3"/>
  <c r="J54" i="5"/>
  <c r="F317" i="3"/>
  <c r="P50" i="5"/>
  <c r="M529" i="8"/>
  <c r="M526" i="20"/>
  <c r="M527" i="20" s="1"/>
  <c r="I492" i="20"/>
  <c r="I93" i="20" s="1"/>
  <c r="E1211" i="8"/>
  <c r="E1152" i="8"/>
  <c r="E1153" i="8" s="1"/>
  <c r="O477" i="8"/>
  <c r="O87" i="8" s="1"/>
  <c r="G1038" i="8"/>
  <c r="E492" i="20"/>
  <c r="E93" i="20" s="1"/>
  <c r="O752" i="8"/>
  <c r="O753" i="8" s="1"/>
  <c r="G893" i="20"/>
  <c r="P297" i="8"/>
  <c r="E477" i="8"/>
  <c r="E478" i="8" s="1"/>
  <c r="O87" i="2"/>
  <c r="O132" i="2"/>
  <c r="O144" i="2" s="1"/>
  <c r="K87" i="2"/>
  <c r="L699" i="20" s="1"/>
  <c r="L182" i="20" s="1"/>
  <c r="K132" i="2"/>
  <c r="G87" i="2"/>
  <c r="G132" i="2"/>
  <c r="G144" i="2" s="1"/>
  <c r="H1210" i="8"/>
  <c r="H1212" i="8" s="1"/>
  <c r="E1118" i="8"/>
  <c r="E311" i="8" s="1"/>
  <c r="H348" i="20"/>
  <c r="O1078" i="20"/>
  <c r="O293" i="20" s="1"/>
  <c r="I140" i="2"/>
  <c r="I87" i="2"/>
  <c r="J699" i="20" s="1"/>
  <c r="I132" i="2"/>
  <c r="E132" i="2"/>
  <c r="I783" i="8"/>
  <c r="I784" i="8" s="1"/>
  <c r="I1287" i="8" s="1"/>
  <c r="M615" i="20"/>
  <c r="M148" i="20" s="1"/>
  <c r="L596" i="8"/>
  <c r="L593" i="20"/>
  <c r="L141" i="20" s="1"/>
  <c r="K562" i="8"/>
  <c r="K563" i="8" s="1"/>
  <c r="L477" i="8"/>
  <c r="L87" i="8" s="1"/>
  <c r="L459" i="20"/>
  <c r="J48" i="23"/>
  <c r="K48" i="23"/>
  <c r="N965" i="8"/>
  <c r="N256" i="8" s="1"/>
  <c r="N962" i="20"/>
  <c r="N251" i="20" s="1"/>
  <c r="P1084" i="8"/>
  <c r="E87" i="2"/>
  <c r="F701" i="8" s="1"/>
  <c r="F186" i="8" s="1"/>
  <c r="L1118" i="8"/>
  <c r="L1120" i="8" s="1"/>
  <c r="H460" i="8"/>
  <c r="H80" i="8" s="1"/>
  <c r="N1039" i="8"/>
  <c r="J258" i="20"/>
  <c r="O1209" i="20"/>
  <c r="L1238" i="8"/>
  <c r="K1100" i="8"/>
  <c r="K1102" i="8" s="1"/>
  <c r="N822" i="20"/>
  <c r="N223" i="20" s="1"/>
  <c r="I423" i="20"/>
  <c r="I72" i="20" s="1"/>
  <c r="L400" i="8"/>
  <c r="L414" i="8" s="1"/>
  <c r="L1265" i="8" s="1"/>
  <c r="L1299" i="8" s="1"/>
  <c r="H1232" i="20"/>
  <c r="H1234" i="20" s="1"/>
  <c r="N290" i="8"/>
  <c r="N1033" i="20"/>
  <c r="N286" i="20" s="1"/>
  <c r="H359" i="8"/>
  <c r="F1078" i="20"/>
  <c r="G1232" i="20"/>
  <c r="G1234" i="20" s="1"/>
  <c r="L780" i="20"/>
  <c r="L196" i="20" s="1"/>
  <c r="H618" i="8"/>
  <c r="H619" i="8" s="1"/>
  <c r="I281" i="2"/>
  <c r="I293" i="2" s="1"/>
  <c r="P1078" i="20"/>
  <c r="D81" i="2"/>
  <c r="O251" i="20"/>
  <c r="G968" i="8"/>
  <c r="H1237" i="8"/>
  <c r="N1102" i="8"/>
  <c r="G321" i="20"/>
  <c r="O891" i="20"/>
  <c r="O893" i="20" s="1"/>
  <c r="I618" i="8"/>
  <c r="I151" i="8" s="1"/>
  <c r="F127" i="20"/>
  <c r="H783" i="8"/>
  <c r="H200" i="8" s="1"/>
  <c r="K494" i="8"/>
  <c r="K94" i="8" s="1"/>
  <c r="I400" i="8"/>
  <c r="I401" i="8" s="1"/>
  <c r="F545" i="8"/>
  <c r="F130" i="8" s="1"/>
  <c r="F1148" i="20"/>
  <c r="F1150" i="20" s="1"/>
  <c r="F780" i="20"/>
  <c r="F196" i="20" s="1"/>
  <c r="L140" i="2"/>
  <c r="H140" i="2"/>
  <c r="E527" i="20"/>
  <c r="O751" i="20"/>
  <c r="H593" i="20"/>
  <c r="H141" i="20" s="1"/>
  <c r="E528" i="8"/>
  <c r="E101" i="8" s="1"/>
  <c r="I477" i="8"/>
  <c r="I87" i="8" s="1"/>
  <c r="L1232" i="20"/>
  <c r="L1234" i="20" s="1"/>
  <c r="O1170" i="8"/>
  <c r="O325" i="8" s="1"/>
  <c r="F140" i="2"/>
  <c r="P138" i="2"/>
  <c r="K402" i="8"/>
  <c r="K1262" i="8" s="1"/>
  <c r="K401" i="8"/>
  <c r="K66" i="8"/>
  <c r="L1237" i="8"/>
  <c r="F318" i="8"/>
  <c r="O1168" i="20"/>
  <c r="K752" i="8"/>
  <c r="K193" i="8" s="1"/>
  <c r="G752" i="8"/>
  <c r="G754" i="8" s="1"/>
  <c r="N1038" i="8"/>
  <c r="O1210" i="20"/>
  <c r="E94" i="8"/>
  <c r="M94" i="8"/>
  <c r="M1209" i="20"/>
  <c r="J495" i="8"/>
  <c r="N495" i="8"/>
  <c r="P962" i="20"/>
  <c r="P965" i="20" s="1"/>
  <c r="P1008" i="8"/>
  <c r="P1010" i="8" s="1"/>
  <c r="O288" i="2"/>
  <c r="O290" i="2" s="1"/>
  <c r="M1210" i="20"/>
  <c r="I196" i="20"/>
  <c r="G824" i="8"/>
  <c r="G1306" i="8" s="1"/>
  <c r="G359" i="8"/>
  <c r="M782" i="20"/>
  <c r="M1286" i="20" s="1"/>
  <c r="M1078" i="20"/>
  <c r="M293" i="20" s="1"/>
  <c r="G780" i="20"/>
  <c r="G196" i="20" s="1"/>
  <c r="F618" i="8"/>
  <c r="F619" i="8" s="1"/>
  <c r="N423" i="20"/>
  <c r="N72" i="20" s="1"/>
  <c r="E397" i="20"/>
  <c r="E411" i="20" s="1"/>
  <c r="E1263" i="20" s="1"/>
  <c r="E1297" i="20" s="1"/>
  <c r="J397" i="20"/>
  <c r="J411" i="20" s="1"/>
  <c r="J1263" i="20" s="1"/>
  <c r="J1297" i="20" s="1"/>
  <c r="J426" i="8"/>
  <c r="J73" i="8" s="1"/>
  <c r="E295" i="2"/>
  <c r="H193" i="8"/>
  <c r="L751" i="20"/>
  <c r="F492" i="20"/>
  <c r="F493" i="20" s="1"/>
  <c r="O822" i="20"/>
  <c r="O223" i="20" s="1"/>
  <c r="L752" i="8"/>
  <c r="L753" i="8" s="1"/>
  <c r="M783" i="8"/>
  <c r="M200" i="8" s="1"/>
  <c r="G825" i="8"/>
  <c r="G1307" i="8" s="1"/>
  <c r="G200" i="8"/>
  <c r="J529" i="8"/>
  <c r="I223" i="20"/>
  <c r="K938" i="8"/>
  <c r="K249" i="8" s="1"/>
  <c r="H1114" i="20"/>
  <c r="H1116" i="20" s="1"/>
  <c r="M593" i="20"/>
  <c r="M141" i="20" s="1"/>
  <c r="H749" i="20"/>
  <c r="L460" i="8"/>
  <c r="N529" i="8"/>
  <c r="N101" i="8"/>
  <c r="F753" i="8"/>
  <c r="F754" i="8"/>
  <c r="F193" i="8"/>
  <c r="M1083" i="8"/>
  <c r="M297" i="8"/>
  <c r="L526" i="20"/>
  <c r="L100" i="20" s="1"/>
  <c r="L528" i="8"/>
  <c r="J749" i="20"/>
  <c r="J752" i="8"/>
  <c r="J193" i="8" s="1"/>
  <c r="I122" i="2"/>
  <c r="P121" i="2"/>
  <c r="E242" i="8"/>
  <c r="E894" i="8"/>
  <c r="F1118" i="8"/>
  <c r="F1114" i="20"/>
  <c r="F1116" i="20" s="1"/>
  <c r="N1114" i="20"/>
  <c r="N1118" i="8"/>
  <c r="N1120" i="8" s="1"/>
  <c r="N128" i="2"/>
  <c r="F938" i="8"/>
  <c r="F249" i="8" s="1"/>
  <c r="K782" i="20"/>
  <c r="K1286" i="20" s="1"/>
  <c r="F561" i="20"/>
  <c r="J1210" i="8"/>
  <c r="J1213" i="8" s="1"/>
  <c r="N749" i="20"/>
  <c r="N751" i="20" s="1"/>
  <c r="K140" i="2"/>
  <c r="H122" i="2"/>
  <c r="K477" i="8"/>
  <c r="K87" i="8" s="1"/>
  <c r="K475" i="20"/>
  <c r="K86" i="20" s="1"/>
  <c r="E1166" i="20"/>
  <c r="E321" i="20" s="1"/>
  <c r="E1170" i="8"/>
  <c r="E325" i="8" s="1"/>
  <c r="L145" i="2"/>
  <c r="H145" i="2"/>
  <c r="P477" i="8"/>
  <c r="P475" i="20"/>
  <c r="P86" i="20" s="1"/>
  <c r="L1005" i="20"/>
  <c r="L1008" i="8"/>
  <c r="L1011" i="8" s="1"/>
  <c r="L1036" i="8"/>
  <c r="L1033" i="20"/>
  <c r="L286" i="20" s="1"/>
  <c r="N1101" i="8"/>
  <c r="P546" i="8"/>
  <c r="M1168" i="20"/>
  <c r="P99" i="2"/>
  <c r="D17" i="26" s="1"/>
  <c r="O783" i="8"/>
  <c r="O200" i="8" s="1"/>
  <c r="M426" i="8"/>
  <c r="M73" i="8" s="1"/>
  <c r="E460" i="8"/>
  <c r="E80" i="8" s="1"/>
  <c r="G595" i="8"/>
  <c r="G144" i="8" s="1"/>
  <c r="K822" i="20"/>
  <c r="K836" i="20" s="1"/>
  <c r="K1307" i="20" s="1"/>
  <c r="K1327" i="20" s="1"/>
  <c r="K823" i="8"/>
  <c r="K825" i="8" s="1"/>
  <c r="G938" i="8"/>
  <c r="G941" i="8" s="1"/>
  <c r="G935" i="20"/>
  <c r="G938" i="20" s="1"/>
  <c r="F1170" i="8"/>
  <c r="F325" i="8" s="1"/>
  <c r="F1166" i="20"/>
  <c r="F321" i="20" s="1"/>
  <c r="J1170" i="8"/>
  <c r="J1166" i="20"/>
  <c r="J321" i="20" s="1"/>
  <c r="N1170" i="8"/>
  <c r="N1171" i="8" s="1"/>
  <c r="N1166" i="20"/>
  <c r="N1168" i="20" s="1"/>
  <c r="O145" i="2"/>
  <c r="N81" i="2"/>
  <c r="E1212" i="8"/>
  <c r="H1209" i="20"/>
  <c r="P1120" i="8"/>
  <c r="H754" i="8"/>
  <c r="I427" i="8"/>
  <c r="P196" i="20"/>
  <c r="J128" i="2"/>
  <c r="N193" i="8"/>
  <c r="G282" i="2"/>
  <c r="M1210" i="8"/>
  <c r="M352" i="8" s="1"/>
  <c r="L1210" i="8"/>
  <c r="L352" i="8" s="1"/>
  <c r="M1170" i="8"/>
  <c r="M1171" i="8" s="1"/>
  <c r="I823" i="8"/>
  <c r="I837" i="8" s="1"/>
  <c r="K783" i="8"/>
  <c r="K785" i="8" s="1"/>
  <c r="K1288" i="8" s="1"/>
  <c r="K1232" i="20"/>
  <c r="K1233" i="20" s="1"/>
  <c r="J615" i="20"/>
  <c r="G822" i="20"/>
  <c r="G824" i="20" s="1"/>
  <c r="G1305" i="20" s="1"/>
  <c r="E780" i="20"/>
  <c r="E196" i="20" s="1"/>
  <c r="N170" i="2"/>
  <c r="O847" i="20" s="1"/>
  <c r="P560" i="20"/>
  <c r="P561" i="20" s="1"/>
  <c r="O1210" i="8"/>
  <c r="O1213" i="8" s="1"/>
  <c r="N1096" i="20"/>
  <c r="N1097" i="20" s="1"/>
  <c r="N492" i="20"/>
  <c r="N93" i="20" s="1"/>
  <c r="H893" i="8"/>
  <c r="J122" i="2"/>
  <c r="E122" i="2"/>
  <c r="J593" i="20"/>
  <c r="J141" i="20" s="1"/>
  <c r="J595" i="8"/>
  <c r="D140" i="2"/>
  <c r="L822" i="20"/>
  <c r="L223" i="20" s="1"/>
  <c r="L823" i="8"/>
  <c r="L825" i="8" s="1"/>
  <c r="L1307" i="8" s="1"/>
  <c r="E891" i="20"/>
  <c r="E237" i="20" s="1"/>
  <c r="G837" i="8"/>
  <c r="J145" i="2"/>
  <c r="F965" i="8"/>
  <c r="F968" i="8" s="1"/>
  <c r="F962" i="20"/>
  <c r="E785" i="8"/>
  <c r="E1288" i="8" s="1"/>
  <c r="E784" i="8"/>
  <c r="E1287" i="8" s="1"/>
  <c r="G966" i="8"/>
  <c r="O825" i="8"/>
  <c r="O1307" i="8" s="1"/>
  <c r="M596" i="8"/>
  <c r="G962" i="20"/>
  <c r="F288" i="2"/>
  <c r="F290" i="2" s="1"/>
  <c r="L1116" i="20"/>
  <c r="L307" i="20"/>
  <c r="F423" i="20"/>
  <c r="F72" i="20" s="1"/>
  <c r="F426" i="8"/>
  <c r="L618" i="8"/>
  <c r="L615" i="20"/>
  <c r="H223" i="20"/>
  <c r="H824" i="20"/>
  <c r="H1305" i="20" s="1"/>
  <c r="I256" i="8"/>
  <c r="I966" i="8"/>
  <c r="G1078" i="20"/>
  <c r="G293" i="20" s="1"/>
  <c r="G1082" i="8"/>
  <c r="G297" i="8" s="1"/>
  <c r="O297" i="8"/>
  <c r="O1084" i="8"/>
  <c r="H1100" i="8"/>
  <c r="H1096" i="20"/>
  <c r="H300" i="20" s="1"/>
  <c r="L1102" i="8"/>
  <c r="L1101" i="8"/>
  <c r="O1096" i="20"/>
  <c r="O1097" i="20" s="1"/>
  <c r="O1100" i="8"/>
  <c r="K1114" i="20"/>
  <c r="K307" i="20" s="1"/>
  <c r="K1118" i="8"/>
  <c r="L1152" i="8"/>
  <c r="L1148" i="20"/>
  <c r="L1210" i="20"/>
  <c r="L348" i="20"/>
  <c r="I1207" i="20"/>
  <c r="I1209" i="20" s="1"/>
  <c r="I1210" i="8"/>
  <c r="I1213" i="8" s="1"/>
  <c r="P752" i="8"/>
  <c r="P753" i="8" s="1"/>
  <c r="P749" i="20"/>
  <c r="P822" i="20"/>
  <c r="P836" i="20" s="1"/>
  <c r="P823" i="8"/>
  <c r="P837" i="8" s="1"/>
  <c r="G143" i="2"/>
  <c r="G81" i="2"/>
  <c r="K81" i="2"/>
  <c r="L648" i="20" s="1"/>
  <c r="R1365" i="8"/>
  <c r="G256" i="8"/>
  <c r="I968" i="8"/>
  <c r="L304" i="8"/>
  <c r="E200" i="8"/>
  <c r="O242" i="8"/>
  <c r="F1153" i="8"/>
  <c r="J402" i="8"/>
  <c r="J1262" i="8" s="1"/>
  <c r="I962" i="20"/>
  <c r="L1209" i="20"/>
  <c r="E1207" i="20"/>
  <c r="L1115" i="20"/>
  <c r="H1082" i="8"/>
  <c r="K128" i="2"/>
  <c r="P1114" i="20"/>
  <c r="P1116" i="20" s="1"/>
  <c r="I411" i="20"/>
  <c r="I1263" i="20" s="1"/>
  <c r="I1297" i="20" s="1"/>
  <c r="I399" i="20"/>
  <c r="I1260" i="20" s="1"/>
  <c r="I1082" i="8"/>
  <c r="L426" i="8"/>
  <c r="L423" i="20"/>
  <c r="L72" i="20" s="1"/>
  <c r="I893" i="8"/>
  <c r="I895" i="8" s="1"/>
  <c r="I891" i="20"/>
  <c r="I237" i="20" s="1"/>
  <c r="M891" i="20"/>
  <c r="M893" i="8"/>
  <c r="M895" i="8" s="1"/>
  <c r="J288" i="2"/>
  <c r="J290" i="2" s="1"/>
  <c r="J188" i="2"/>
  <c r="K962" i="20" s="1"/>
  <c r="K965" i="20" s="1"/>
  <c r="E1078" i="20"/>
  <c r="E1080" i="20" s="1"/>
  <c r="P222" i="2"/>
  <c r="D27" i="26" s="1"/>
  <c r="E1082" i="8"/>
  <c r="I1114" i="20"/>
  <c r="I307" i="20" s="1"/>
  <c r="I1118" i="8"/>
  <c r="M1114" i="20"/>
  <c r="M1115" i="20" s="1"/>
  <c r="M1118" i="8"/>
  <c r="M311" i="8" s="1"/>
  <c r="J314" i="20"/>
  <c r="J1150" i="20"/>
  <c r="K1210" i="8"/>
  <c r="K1213" i="8" s="1"/>
  <c r="K1207" i="20"/>
  <c r="P250" i="2"/>
  <c r="P458" i="20"/>
  <c r="P79" i="20" s="1"/>
  <c r="P460" i="8"/>
  <c r="P80" i="8" s="1"/>
  <c r="I81" i="2"/>
  <c r="J648" i="20" s="1"/>
  <c r="J155" i="20" s="1"/>
  <c r="E281" i="2"/>
  <c r="E293" i="2" s="1"/>
  <c r="E170" i="2"/>
  <c r="J848" i="8"/>
  <c r="J847" i="20"/>
  <c r="M170" i="2"/>
  <c r="M281" i="2"/>
  <c r="M293" i="2" s="1"/>
  <c r="N87" i="2"/>
  <c r="O701" i="8" s="1"/>
  <c r="O186" i="8" s="1"/>
  <c r="F87" i="2"/>
  <c r="F134" i="2"/>
  <c r="K1005" i="20"/>
  <c r="K1008" i="8"/>
  <c r="K1009" i="8" s="1"/>
  <c r="F282" i="2"/>
  <c r="F294" i="2" s="1"/>
  <c r="J81" i="2"/>
  <c r="K648" i="20" s="1"/>
  <c r="F81" i="2"/>
  <c r="J1102" i="8"/>
  <c r="J1101" i="8"/>
  <c r="I967" i="8"/>
  <c r="P1119" i="8"/>
  <c r="O228" i="8"/>
  <c r="F495" i="8"/>
  <c r="K300" i="20"/>
  <c r="G1033" i="20"/>
  <c r="G286" i="20" s="1"/>
  <c r="K891" i="20"/>
  <c r="K893" i="20" s="1"/>
  <c r="L1096" i="20"/>
  <c r="L300" i="20" s="1"/>
  <c r="P543" i="20"/>
  <c r="P127" i="20" s="1"/>
  <c r="J1096" i="20"/>
  <c r="J1098" i="20" s="1"/>
  <c r="O122" i="2"/>
  <c r="O397" i="20"/>
  <c r="O400" i="8"/>
  <c r="O401" i="8" s="1"/>
  <c r="G460" i="8"/>
  <c r="G80" i="8" s="1"/>
  <c r="G458" i="20"/>
  <c r="G79" i="20" s="1"/>
  <c r="O458" i="20"/>
  <c r="O79" i="20" s="1"/>
  <c r="O460" i="8"/>
  <c r="O461" i="8" s="1"/>
  <c r="J545" i="8"/>
  <c r="J543" i="20"/>
  <c r="G189" i="20"/>
  <c r="H196" i="20"/>
  <c r="H782" i="20"/>
  <c r="H1286" i="20" s="1"/>
  <c r="E143" i="2"/>
  <c r="G140" i="2"/>
  <c r="K1238" i="8"/>
  <c r="K359" i="8"/>
  <c r="G618" i="8"/>
  <c r="G615" i="20"/>
  <c r="I749" i="20"/>
  <c r="I752" i="8"/>
  <c r="I753" i="8" s="1"/>
  <c r="N145" i="2"/>
  <c r="F145" i="2"/>
  <c r="M295" i="2"/>
  <c r="I295" i="2"/>
  <c r="P287" i="2"/>
  <c r="F562" i="8"/>
  <c r="H494" i="8"/>
  <c r="H495" i="8" s="1"/>
  <c r="G1170" i="8"/>
  <c r="G325" i="8" s="1"/>
  <c r="M543" i="20"/>
  <c r="M127" i="20" s="1"/>
  <c r="N143" i="2"/>
  <c r="N140" i="2"/>
  <c r="J140" i="2"/>
  <c r="N295" i="2"/>
  <c r="E1008" i="8"/>
  <c r="E1005" i="20"/>
  <c r="E258" i="20" s="1"/>
  <c r="G1207" i="20"/>
  <c r="G348" i="20" s="1"/>
  <c r="G1210" i="8"/>
  <c r="G1211" i="8" s="1"/>
  <c r="O281" i="2"/>
  <c r="O170" i="2"/>
  <c r="D182" i="2"/>
  <c r="D282" i="2"/>
  <c r="K288" i="2"/>
  <c r="K188" i="2"/>
  <c r="K1082" i="8"/>
  <c r="K1078" i="20"/>
  <c r="K1080" i="20" s="1"/>
  <c r="F1236" i="8"/>
  <c r="F1237" i="8" s="1"/>
  <c r="F1232" i="20"/>
  <c r="F355" i="20" s="1"/>
  <c r="D281" i="2"/>
  <c r="D293" i="2" s="1"/>
  <c r="D170" i="2"/>
  <c r="L281" i="2"/>
  <c r="L170" i="2"/>
  <c r="M848" i="8" s="1"/>
  <c r="D128" i="2"/>
  <c r="H311" i="8"/>
  <c r="H1119" i="8"/>
  <c r="H1120" i="8"/>
  <c r="F1083" i="8"/>
  <c r="F297" i="8"/>
  <c r="F1084" i="8"/>
  <c r="K242" i="8"/>
  <c r="K895" i="8"/>
  <c r="I94" i="8"/>
  <c r="I495" i="8"/>
  <c r="H423" i="20"/>
  <c r="H72" i="20" s="1"/>
  <c r="H426" i="8"/>
  <c r="K423" i="20"/>
  <c r="K72" i="20" s="1"/>
  <c r="K426" i="8"/>
  <c r="F460" i="8"/>
  <c r="F458" i="20"/>
  <c r="I460" i="8"/>
  <c r="I80" i="8" s="1"/>
  <c r="I458" i="20"/>
  <c r="I79" i="20" s="1"/>
  <c r="M458" i="20"/>
  <c r="M459" i="20" s="1"/>
  <c r="M460" i="8"/>
  <c r="F477" i="8"/>
  <c r="F475" i="20"/>
  <c r="F86" i="20" s="1"/>
  <c r="J477" i="8"/>
  <c r="J475" i="20"/>
  <c r="J476" i="20" s="1"/>
  <c r="M477" i="8"/>
  <c r="M475" i="20"/>
  <c r="M86" i="20" s="1"/>
  <c r="G492" i="20"/>
  <c r="G93" i="20" s="1"/>
  <c r="G494" i="8"/>
  <c r="K493" i="20"/>
  <c r="K93" i="20"/>
  <c r="O492" i="20"/>
  <c r="O494" i="8"/>
  <c r="K528" i="8"/>
  <c r="K526" i="20"/>
  <c r="O526" i="20"/>
  <c r="O528" i="8"/>
  <c r="H543" i="20"/>
  <c r="H545" i="8"/>
  <c r="L543" i="20"/>
  <c r="L545" i="8"/>
  <c r="E562" i="8"/>
  <c r="E560" i="20"/>
  <c r="I560" i="20"/>
  <c r="I562" i="8"/>
  <c r="M562" i="8"/>
  <c r="M560" i="20"/>
  <c r="M561" i="20" s="1"/>
  <c r="F595" i="8"/>
  <c r="F593" i="20"/>
  <c r="N593" i="20"/>
  <c r="N141" i="20" s="1"/>
  <c r="N595" i="8"/>
  <c r="K615" i="20"/>
  <c r="K618" i="8"/>
  <c r="N615" i="20"/>
  <c r="N618" i="8"/>
  <c r="P85" i="2"/>
  <c r="L87" i="2"/>
  <c r="H87" i="2"/>
  <c r="L194" i="2"/>
  <c r="L282" i="2"/>
  <c r="H194" i="2"/>
  <c r="H282" i="2"/>
  <c r="D288" i="2"/>
  <c r="D200" i="2"/>
  <c r="E1033" i="20" s="1"/>
  <c r="E1035" i="20" s="1"/>
  <c r="L288" i="2"/>
  <c r="L200" i="2"/>
  <c r="M965" i="8"/>
  <c r="M962" i="20"/>
  <c r="M964" i="20" s="1"/>
  <c r="O935" i="20"/>
  <c r="O938" i="8"/>
  <c r="E1096" i="20"/>
  <c r="E1097" i="20" s="1"/>
  <c r="E1100" i="8"/>
  <c r="I1148" i="20"/>
  <c r="I1152" i="8"/>
  <c r="M1152" i="8"/>
  <c r="M318" i="8" s="1"/>
  <c r="M1148" i="20"/>
  <c r="M1149" i="20" s="1"/>
  <c r="I1166" i="20"/>
  <c r="I1170" i="8"/>
  <c r="J1236" i="8"/>
  <c r="J1237" i="8" s="1"/>
  <c r="J1232" i="20"/>
  <c r="J1233" i="20" s="1"/>
  <c r="N1236" i="8"/>
  <c r="N1232" i="20"/>
  <c r="N1233" i="20" s="1"/>
  <c r="L278" i="2"/>
  <c r="H281" i="2"/>
  <c r="H293" i="2" s="1"/>
  <c r="H170" i="2"/>
  <c r="D87" i="2"/>
  <c r="G288" i="2"/>
  <c r="G290" i="2" s="1"/>
  <c r="M151" i="8"/>
  <c r="J401" i="8"/>
  <c r="J414" i="8"/>
  <c r="J1265" i="8" s="1"/>
  <c r="J1299" i="8" s="1"/>
  <c r="E148" i="20"/>
  <c r="E616" i="20"/>
  <c r="D122" i="2"/>
  <c r="L411" i="20"/>
  <c r="L1263" i="20" s="1"/>
  <c r="L1297" i="20" s="1"/>
  <c r="L65" i="20"/>
  <c r="G423" i="20"/>
  <c r="G426" i="8"/>
  <c r="J80" i="8"/>
  <c r="J461" i="8"/>
  <c r="N458" i="20"/>
  <c r="N460" i="8"/>
  <c r="H93" i="20"/>
  <c r="H493" i="20"/>
  <c r="L494" i="8"/>
  <c r="L492" i="20"/>
  <c r="H526" i="20"/>
  <c r="H528" i="8"/>
  <c r="E543" i="20"/>
  <c r="E545" i="8"/>
  <c r="I543" i="20"/>
  <c r="I545" i="8"/>
  <c r="M130" i="8"/>
  <c r="M546" i="8"/>
  <c r="J560" i="20"/>
  <c r="J562" i="8"/>
  <c r="N560" i="20"/>
  <c r="N562" i="8"/>
  <c r="H148" i="20"/>
  <c r="H616" i="20"/>
  <c r="O618" i="8"/>
  <c r="O615" i="20"/>
  <c r="O616" i="20" s="1"/>
  <c r="K244" i="20"/>
  <c r="K938" i="20"/>
  <c r="J1210" i="20"/>
  <c r="J348" i="20"/>
  <c r="N228" i="8"/>
  <c r="N825" i="8"/>
  <c r="P1036" i="8"/>
  <c r="P1033" i="20"/>
  <c r="P1035" i="20" s="1"/>
  <c r="P75" i="2"/>
  <c r="D26" i="26" s="1"/>
  <c r="D70" i="26" s="1"/>
  <c r="H237" i="20"/>
  <c r="H893" i="20"/>
  <c r="L1166" i="20"/>
  <c r="L1167" i="20" s="1"/>
  <c r="L1170" i="8"/>
  <c r="L1171" i="8" s="1"/>
  <c r="M87" i="2"/>
  <c r="M134" i="2"/>
  <c r="E194" i="2"/>
  <c r="E282" i="2"/>
  <c r="J1033" i="20"/>
  <c r="J1035" i="20" s="1"/>
  <c r="J1036" i="8"/>
  <c r="J1038" i="8" s="1"/>
  <c r="F1033" i="20"/>
  <c r="F1036" i="8"/>
  <c r="K282" i="2"/>
  <c r="K182" i="2"/>
  <c r="L935" i="20" s="1"/>
  <c r="P397" i="20"/>
  <c r="P400" i="8"/>
  <c r="O423" i="20"/>
  <c r="O72" i="20" s="1"/>
  <c r="O426" i="8"/>
  <c r="H477" i="8"/>
  <c r="H475" i="20"/>
  <c r="H86" i="20" s="1"/>
  <c r="I526" i="20"/>
  <c r="I527" i="20" s="1"/>
  <c r="I528" i="8"/>
  <c r="K561" i="20"/>
  <c r="K134" i="20"/>
  <c r="O563" i="8"/>
  <c r="O137" i="8"/>
  <c r="E749" i="20"/>
  <c r="E752" i="8"/>
  <c r="P139" i="2"/>
  <c r="P176" i="2"/>
  <c r="L1078" i="20"/>
  <c r="L1080" i="20" s="1"/>
  <c r="L1082" i="8"/>
  <c r="N1152" i="8"/>
  <c r="N1148" i="20"/>
  <c r="N1149" i="20" s="1"/>
  <c r="P492" i="20"/>
  <c r="P494" i="8"/>
  <c r="P1007" i="20"/>
  <c r="P258" i="20"/>
  <c r="H1008" i="8"/>
  <c r="H1005" i="20"/>
  <c r="P1008" i="20"/>
  <c r="F938" i="20"/>
  <c r="M1084" i="8"/>
  <c r="H293" i="20"/>
  <c r="O965" i="8"/>
  <c r="O966" i="8" s="1"/>
  <c r="P137" i="8"/>
  <c r="I65" i="20"/>
  <c r="M189" i="20"/>
  <c r="E81" i="2"/>
  <c r="E618" i="8"/>
  <c r="O560" i="20"/>
  <c r="M492" i="20"/>
  <c r="M140" i="2"/>
  <c r="F823" i="8"/>
  <c r="F837" i="8" s="1"/>
  <c r="K458" i="20"/>
  <c r="K79" i="20" s="1"/>
  <c r="K122" i="2"/>
  <c r="M752" i="8"/>
  <c r="M753" i="8" s="1"/>
  <c r="P93" i="2"/>
  <c r="D16" i="26" s="1"/>
  <c r="D60" i="26" s="1"/>
  <c r="F749" i="20"/>
  <c r="O196" i="20"/>
  <c r="O782" i="20"/>
  <c r="O1286" i="20" s="1"/>
  <c r="J893" i="8"/>
  <c r="J895" i="8" s="1"/>
  <c r="J891" i="20"/>
  <c r="N891" i="20"/>
  <c r="N893" i="8"/>
  <c r="N895" i="8" s="1"/>
  <c r="M288" i="2"/>
  <c r="M290" i="2" s="1"/>
  <c r="I288" i="2"/>
  <c r="I290" i="2" s="1"/>
  <c r="E288" i="2"/>
  <c r="P186" i="2"/>
  <c r="G1096" i="20"/>
  <c r="G1097" i="20" s="1"/>
  <c r="G1100" i="8"/>
  <c r="J1114" i="20"/>
  <c r="J1118" i="8"/>
  <c r="O1148" i="20"/>
  <c r="O1149" i="20" s="1"/>
  <c r="O1152" i="8"/>
  <c r="H278" i="2"/>
  <c r="D278" i="2"/>
  <c r="J295" i="2"/>
  <c r="P1152" i="8"/>
  <c r="P1148" i="20"/>
  <c r="P1149" i="20" s="1"/>
  <c r="M122" i="2"/>
  <c r="P164" i="2"/>
  <c r="O1232" i="20"/>
  <c r="O1233" i="20" s="1"/>
  <c r="O1236" i="8"/>
  <c r="G145" i="2"/>
  <c r="J281" i="2"/>
  <c r="J293" i="2" s="1"/>
  <c r="J170" i="2"/>
  <c r="K278" i="2"/>
  <c r="J278" i="2"/>
  <c r="H295" i="2"/>
  <c r="O140" i="2"/>
  <c r="O295" i="2"/>
  <c r="E1115" i="20"/>
  <c r="E1116" i="20"/>
  <c r="F278" i="2"/>
  <c r="K295" i="2"/>
  <c r="H962" i="20"/>
  <c r="H964" i="20" s="1"/>
  <c r="H966" i="8"/>
  <c r="H968" i="8"/>
  <c r="H1036" i="8"/>
  <c r="H1033" i="20"/>
  <c r="F223" i="20"/>
  <c r="F824" i="20"/>
  <c r="F1305" i="20" s="1"/>
  <c r="F616" i="20"/>
  <c r="F148" i="20"/>
  <c r="G545" i="8"/>
  <c r="G543" i="20"/>
  <c r="P47" i="2"/>
  <c r="D23" i="26" s="1"/>
  <c r="D67" i="26" s="1"/>
  <c r="O543" i="20"/>
  <c r="O545" i="8"/>
  <c r="H560" i="20"/>
  <c r="H562" i="8"/>
  <c r="L562" i="8"/>
  <c r="L560" i="20"/>
  <c r="E595" i="8"/>
  <c r="E593" i="20"/>
  <c r="P70" i="2"/>
  <c r="D25" i="26" s="1"/>
  <c r="D69" i="26" s="1"/>
  <c r="I593" i="20"/>
  <c r="I141" i="20" s="1"/>
  <c r="I595" i="8"/>
  <c r="M1232" i="20"/>
  <c r="M1236" i="8"/>
  <c r="P277" i="2"/>
  <c r="G295" i="2"/>
  <c r="G278" i="2"/>
  <c r="M278" i="2"/>
  <c r="I278" i="2"/>
  <c r="P276" i="2"/>
  <c r="E278" i="2"/>
  <c r="P283" i="2"/>
  <c r="D295" i="2"/>
  <c r="H200" i="2"/>
  <c r="H288" i="2"/>
  <c r="L81" i="2"/>
  <c r="H81" i="2"/>
  <c r="M81" i="2"/>
  <c r="N651" i="8" s="1"/>
  <c r="N653" i="8" s="1"/>
  <c r="N1272" i="8" s="1"/>
  <c r="J1007" i="20"/>
  <c r="H967" i="8"/>
  <c r="H256" i="8"/>
  <c r="K127" i="20"/>
  <c r="E307" i="20"/>
  <c r="K545" i="8"/>
  <c r="E966" i="8"/>
  <c r="E968" i="8"/>
  <c r="E256" i="8"/>
  <c r="O1011" i="8"/>
  <c r="O1009" i="8"/>
  <c r="O1010" i="8"/>
  <c r="O263" i="8"/>
  <c r="G87" i="8"/>
  <c r="N293" i="2"/>
  <c r="H397" i="20"/>
  <c r="H400" i="8"/>
  <c r="H402" i="8" s="1"/>
  <c r="H1262" i="8" s="1"/>
  <c r="E962" i="20"/>
  <c r="E964" i="20" s="1"/>
  <c r="J619" i="8"/>
  <c r="N782" i="20"/>
  <c r="N1286" i="20" s="1"/>
  <c r="N196" i="20"/>
  <c r="H1170" i="8"/>
  <c r="H1166" i="20"/>
  <c r="H1167" i="20" s="1"/>
  <c r="P246" i="2"/>
  <c r="D31" i="26" s="1"/>
  <c r="D75" i="26" s="1"/>
  <c r="P133" i="2"/>
  <c r="J143" i="2"/>
  <c r="P131" i="2"/>
  <c r="D143" i="2"/>
  <c r="D134" i="2"/>
  <c r="F295" i="2"/>
  <c r="F1210" i="8"/>
  <c r="F1213" i="8" s="1"/>
  <c r="P252" i="2"/>
  <c r="P423" i="20"/>
  <c r="P72" i="20" s="1"/>
  <c r="P426" i="8"/>
  <c r="P526" i="20"/>
  <c r="P528" i="8"/>
  <c r="P891" i="20"/>
  <c r="P893" i="8"/>
  <c r="P895" i="8" s="1"/>
  <c r="P1232" i="20"/>
  <c r="P1233" i="20" s="1"/>
  <c r="P1236" i="8"/>
  <c r="O278" i="2"/>
  <c r="P1207" i="20"/>
  <c r="P1210" i="8"/>
  <c r="O81" i="2"/>
  <c r="G281" i="2"/>
  <c r="P167" i="2"/>
  <c r="C311" i="2" s="1"/>
  <c r="E311" i="2" s="1"/>
  <c r="G170" i="2"/>
  <c r="K281" i="2"/>
  <c r="K170" i="2"/>
  <c r="R1366" i="8"/>
  <c r="N134" i="2"/>
  <c r="J87" i="2"/>
  <c r="F194" i="2"/>
  <c r="P192" i="2"/>
  <c r="N200" i="2"/>
  <c r="N288" i="2"/>
  <c r="N290" i="2" s="1"/>
  <c r="K1033" i="20"/>
  <c r="K1036" i="8"/>
  <c r="K1039" i="8" s="1"/>
  <c r="E223" i="20"/>
  <c r="E824" i="20"/>
  <c r="E1305" i="20" s="1"/>
  <c r="F1209" i="20"/>
  <c r="F348" i="20"/>
  <c r="H314" i="20"/>
  <c r="H1150" i="20"/>
  <c r="G1037" i="8"/>
  <c r="E967" i="8"/>
  <c r="O1005" i="20"/>
  <c r="J151" i="8"/>
  <c r="F1210" i="20"/>
  <c r="E1150" i="20"/>
  <c r="P966" i="8"/>
  <c r="P967" i="8"/>
  <c r="P256" i="8"/>
  <c r="I616" i="20"/>
  <c r="I148" i="20"/>
  <c r="H596" i="8"/>
  <c r="H144" i="8"/>
  <c r="E414" i="8"/>
  <c r="E66" i="8"/>
  <c r="J965" i="8"/>
  <c r="J962" i="20"/>
  <c r="J964" i="20" s="1"/>
  <c r="I938" i="8"/>
  <c r="I939" i="8" s="1"/>
  <c r="I935" i="20"/>
  <c r="G397" i="20"/>
  <c r="P17" i="2"/>
  <c r="G400" i="8"/>
  <c r="N400" i="8"/>
  <c r="N397" i="20"/>
  <c r="O895" i="8"/>
  <c r="G526" i="20"/>
  <c r="G528" i="8"/>
  <c r="L891" i="20"/>
  <c r="L893" i="8"/>
  <c r="L895" i="8" s="1"/>
  <c r="N282" i="2"/>
  <c r="J1078" i="20"/>
  <c r="J1082" i="8"/>
  <c r="N1078" i="20"/>
  <c r="N1082" i="8"/>
  <c r="N1083" i="8" s="1"/>
  <c r="K1170" i="8"/>
  <c r="K1166" i="20"/>
  <c r="M935" i="20"/>
  <c r="M937" i="20" s="1"/>
  <c r="M938" i="8"/>
  <c r="M941" i="8" s="1"/>
  <c r="I293" i="20"/>
  <c r="P52" i="2"/>
  <c r="D24" i="26" s="1"/>
  <c r="D68" i="26" s="1"/>
  <c r="I1096" i="20"/>
  <c r="I1097" i="20" s="1"/>
  <c r="I1100" i="8"/>
  <c r="M1096" i="20"/>
  <c r="M1097" i="20" s="1"/>
  <c r="M1100" i="8"/>
  <c r="G1118" i="8"/>
  <c r="P234" i="2"/>
  <c r="D29" i="26" s="1"/>
  <c r="D73" i="26" s="1"/>
  <c r="G1114" i="20"/>
  <c r="O1118" i="8"/>
  <c r="O1114" i="20"/>
  <c r="H1152" i="8"/>
  <c r="P240" i="2"/>
  <c r="D30" i="26" s="1"/>
  <c r="D74" i="26" s="1"/>
  <c r="K1148" i="20"/>
  <c r="K1149" i="20" s="1"/>
  <c r="K1152" i="8"/>
  <c r="J526" i="20"/>
  <c r="G893" i="8"/>
  <c r="K397" i="20"/>
  <c r="J1152" i="8"/>
  <c r="P27" i="2"/>
  <c r="D22" i="26" s="1"/>
  <c r="D66" i="26" s="1"/>
  <c r="J458" i="20"/>
  <c r="P32" i="2"/>
  <c r="D18" i="26" s="1"/>
  <c r="D62" i="26" s="1"/>
  <c r="G475" i="20"/>
  <c r="N477" i="8"/>
  <c r="N475" i="20"/>
  <c r="N86" i="20" s="1"/>
  <c r="F128" i="2"/>
  <c r="P78" i="2"/>
  <c r="E310" i="2" s="1"/>
  <c r="H134" i="2"/>
  <c r="F397" i="20"/>
  <c r="F400" i="8"/>
  <c r="M397" i="20"/>
  <c r="M400" i="8"/>
  <c r="E359" i="8"/>
  <c r="E1238" i="8"/>
  <c r="N1005" i="20"/>
  <c r="N1008" i="8"/>
  <c r="F526" i="20"/>
  <c r="F528" i="8"/>
  <c r="P42" i="2"/>
  <c r="D20" i="26" s="1"/>
  <c r="D64" i="26" s="1"/>
  <c r="N543" i="20"/>
  <c r="N545" i="8"/>
  <c r="G562" i="8"/>
  <c r="G560" i="20"/>
  <c r="J780" i="20"/>
  <c r="J783" i="8"/>
  <c r="J785" i="8" s="1"/>
  <c r="J1288" i="8" s="1"/>
  <c r="G122" i="2"/>
  <c r="P120" i="2"/>
  <c r="E140" i="2"/>
  <c r="J822" i="20"/>
  <c r="J823" i="8"/>
  <c r="J837" i="8" s="1"/>
  <c r="M822" i="20"/>
  <c r="M836" i="20" s="1"/>
  <c r="M823" i="8"/>
  <c r="M837" i="8" s="1"/>
  <c r="G1148" i="20"/>
  <c r="G1152" i="8"/>
  <c r="E1232" i="20"/>
  <c r="E1233" i="20" s="1"/>
  <c r="P271" i="2"/>
  <c r="D32" i="26" s="1"/>
  <c r="D76" i="26" s="1"/>
  <c r="I1232" i="20"/>
  <c r="I1236" i="8"/>
  <c r="L295" i="2"/>
  <c r="N278" i="2"/>
  <c r="P289" i="2"/>
  <c r="L134" i="2"/>
  <c r="J282" i="2"/>
  <c r="P37" i="2"/>
  <c r="D19" i="26" s="1"/>
  <c r="D63" i="26" s="1"/>
  <c r="K593" i="20"/>
  <c r="K141" i="20" s="1"/>
  <c r="K595" i="8"/>
  <c r="O593" i="20"/>
  <c r="O141" i="20" s="1"/>
  <c r="O595" i="8"/>
  <c r="L122" i="2"/>
  <c r="F891" i="20"/>
  <c r="F893" i="8"/>
  <c r="P228" i="2"/>
  <c r="D28" i="26" s="1"/>
  <c r="D72" i="26" s="1"/>
  <c r="F1100" i="8"/>
  <c r="F170" i="2"/>
  <c r="F281" i="2"/>
  <c r="P198" i="2"/>
  <c r="P595" i="8"/>
  <c r="P593" i="20"/>
  <c r="P141" i="20" s="1"/>
  <c r="P615" i="20"/>
  <c r="P618" i="8"/>
  <c r="P1100" i="8"/>
  <c r="P1096" i="20"/>
  <c r="P1097" i="20" s="1"/>
  <c r="P1170" i="8"/>
  <c r="P1166" i="20"/>
  <c r="P1167" i="20" s="1"/>
  <c r="K894" i="8"/>
  <c r="K145" i="2"/>
  <c r="M145" i="2"/>
  <c r="E145" i="2"/>
  <c r="L128" i="2"/>
  <c r="H128" i="2"/>
  <c r="I145" i="2"/>
  <c r="I143" i="2"/>
  <c r="H143" i="2"/>
  <c r="M128" i="2"/>
  <c r="L143" i="2"/>
  <c r="M143" i="2"/>
  <c r="P409" i="8"/>
  <c r="N468" i="8"/>
  <c r="J409" i="8"/>
  <c r="J69" i="8" s="1"/>
  <c r="E466" i="20"/>
  <c r="E82" i="20" s="1"/>
  <c r="O431" i="20"/>
  <c r="O75" i="20" s="1"/>
  <c r="H1080" i="20"/>
  <c r="E431" i="20"/>
  <c r="E75" i="20" s="1"/>
  <c r="I431" i="20"/>
  <c r="I75" i="20" s="1"/>
  <c r="H48" i="23"/>
  <c r="I54" i="23"/>
  <c r="L42" i="23"/>
  <c r="G54" i="23"/>
  <c r="G48" i="23"/>
  <c r="L48" i="23"/>
  <c r="D42" i="23"/>
  <c r="J415" i="8"/>
  <c r="I415" i="8"/>
  <c r="I1266" i="8" s="1"/>
  <c r="L415" i="8"/>
  <c r="L1266" i="8" s="1"/>
  <c r="P415" i="8"/>
  <c r="P1266" i="8" s="1"/>
  <c r="N415" i="8"/>
  <c r="N1266" i="8" s="1"/>
  <c r="J837" i="20"/>
  <c r="J1308" i="20" s="1"/>
  <c r="J1328" i="20" s="1"/>
  <c r="I837" i="20"/>
  <c r="I1308" i="20" s="1"/>
  <c r="I1328" i="20" s="1"/>
  <c r="L837" i="20"/>
  <c r="L1308" i="20" s="1"/>
  <c r="L1328" i="20" s="1"/>
  <c r="E837" i="20"/>
  <c r="E1308" i="20" s="1"/>
  <c r="F785" i="8"/>
  <c r="F1288" i="8" s="1"/>
  <c r="L785" i="8"/>
  <c r="L1288" i="8" s="1"/>
  <c r="G785" i="8"/>
  <c r="E895" i="8"/>
  <c r="G1039" i="8"/>
  <c r="N1123" i="8"/>
  <c r="J1101" i="20"/>
  <c r="K1101" i="20"/>
  <c r="H1105" i="8"/>
  <c r="H459" i="20"/>
  <c r="K461" i="8"/>
  <c r="E459" i="20"/>
  <c r="E427" i="8"/>
  <c r="N427" i="20"/>
  <c r="I427" i="20"/>
  <c r="L547" i="20"/>
  <c r="G547" i="20"/>
  <c r="I547" i="20"/>
  <c r="F1097" i="20"/>
  <c r="K1097" i="20"/>
  <c r="M424" i="20"/>
  <c r="J424" i="20"/>
  <c r="G1167" i="20"/>
  <c r="M1167" i="20"/>
  <c r="H1149" i="20"/>
  <c r="O1119" i="20"/>
  <c r="K1119" i="20"/>
  <c r="G594" i="20"/>
  <c r="M564" i="20"/>
  <c r="N564" i="20"/>
  <c r="J564" i="20"/>
  <c r="E564" i="20"/>
  <c r="H496" i="20"/>
  <c r="G496" i="20"/>
  <c r="G1119" i="20"/>
  <c r="N427" i="8"/>
  <c r="F498" i="8"/>
  <c r="G1237" i="8"/>
  <c r="K1237" i="8"/>
  <c r="L784" i="8"/>
  <c r="K662" i="8"/>
  <c r="N753" i="8"/>
  <c r="L476" i="20"/>
  <c r="O476" i="20"/>
  <c r="N714" i="8"/>
  <c r="E476" i="20"/>
  <c r="G478" i="8"/>
  <c r="I476" i="20"/>
  <c r="E462" i="20"/>
  <c r="E1149" i="20"/>
  <c r="P405" i="8"/>
  <c r="E1213" i="8"/>
  <c r="H838" i="8"/>
  <c r="K838" i="8"/>
  <c r="M838" i="8"/>
  <c r="E836" i="20"/>
  <c r="E1307" i="20" s="1"/>
  <c r="H836" i="20"/>
  <c r="N837" i="8"/>
  <c r="O837" i="8"/>
  <c r="F836" i="20"/>
  <c r="I836" i="20"/>
  <c r="K1214" i="20"/>
  <c r="M1014" i="8"/>
  <c r="P968" i="20"/>
  <c r="P1011" i="20"/>
  <c r="O971" i="8"/>
  <c r="O968" i="20"/>
  <c r="L1017" i="8"/>
  <c r="F968" i="20"/>
  <c r="H935" i="20"/>
  <c r="H938" i="8"/>
  <c r="I973" i="8"/>
  <c r="E224" i="20"/>
  <c r="E128" i="2"/>
  <c r="I787" i="8"/>
  <c r="H41" i="23"/>
  <c r="F53" i="23"/>
  <c r="G426" i="20"/>
  <c r="H53" i="23"/>
  <c r="H54" i="23" s="1"/>
  <c r="I429" i="8"/>
  <c r="J1209" i="20"/>
  <c r="K479" i="20"/>
  <c r="E827" i="8"/>
  <c r="P84" i="3"/>
  <c r="O1100" i="20"/>
  <c r="O1104" i="8"/>
  <c r="N122" i="2"/>
  <c r="P137" i="2"/>
  <c r="E318" i="3"/>
  <c r="E54" i="5"/>
  <c r="K751" i="20"/>
  <c r="G429" i="8"/>
  <c r="E529" i="20"/>
  <c r="E423" i="20"/>
  <c r="P22" i="2"/>
  <c r="D21" i="26" s="1"/>
  <c r="D65" i="26" s="1"/>
  <c r="F1098" i="20"/>
  <c r="F300" i="20"/>
  <c r="L789" i="20"/>
  <c r="F122" i="2"/>
  <c r="D413" i="20"/>
  <c r="N1340" i="8"/>
  <c r="I1340" i="8"/>
  <c r="I22" i="5"/>
  <c r="I24" i="5" s="1"/>
  <c r="J1340" i="8"/>
  <c r="J1149" i="20"/>
  <c r="K1340" i="8"/>
  <c r="K176" i="3"/>
  <c r="O1167" i="20"/>
  <c r="I1338" i="20"/>
  <c r="M1338" i="20"/>
  <c r="E1338" i="20"/>
  <c r="G751" i="20"/>
  <c r="I128" i="3"/>
  <c r="L794" i="20"/>
  <c r="L1289" i="20" s="1"/>
  <c r="I794" i="20"/>
  <c r="I1289" i="20" s="1"/>
  <c r="E412" i="20"/>
  <c r="K412" i="20"/>
  <c r="K1264" i="20" s="1"/>
  <c r="F412" i="20"/>
  <c r="N713" i="8"/>
  <c r="G1050" i="8"/>
  <c r="L971" i="8"/>
  <c r="G970" i="20"/>
  <c r="G973" i="8"/>
  <c r="E1020" i="8"/>
  <c r="N705" i="20"/>
  <c r="J1011" i="20"/>
  <c r="J1014" i="8"/>
  <c r="J1020" i="8" s="1"/>
  <c r="L1041" i="20"/>
  <c r="L1044" i="8"/>
  <c r="M1039" i="20"/>
  <c r="M1042" i="8"/>
  <c r="J405" i="8"/>
  <c r="J67" i="8"/>
  <c r="G971" i="8"/>
  <c r="N968" i="20"/>
  <c r="L827" i="8"/>
  <c r="L1340" i="8"/>
  <c r="I161" i="3"/>
  <c r="N405" i="3"/>
  <c r="Q30" i="20"/>
  <c r="H56" i="14" s="1"/>
  <c r="O126" i="3"/>
  <c r="F937" i="20"/>
  <c r="K937" i="20"/>
  <c r="F1051" i="8"/>
  <c r="O964" i="20"/>
  <c r="F1042" i="20"/>
  <c r="J658" i="8"/>
  <c r="J655" i="20"/>
  <c r="N390" i="3"/>
  <c r="K659" i="8"/>
  <c r="K656" i="20"/>
  <c r="L657" i="8"/>
  <c r="L654" i="20"/>
  <c r="L976" i="8" l="1"/>
  <c r="J976" i="8"/>
  <c r="G974" i="8"/>
  <c r="G257" i="8" s="1"/>
  <c r="O974" i="8"/>
  <c r="O257" i="8" s="1"/>
  <c r="N974" i="8"/>
  <c r="N257" i="8" s="1"/>
  <c r="O1243" i="8"/>
  <c r="O360" i="8" s="1"/>
  <c r="H294" i="2"/>
  <c r="O180" i="2"/>
  <c r="O182" i="2" s="1"/>
  <c r="F1239" i="20"/>
  <c r="F356" i="20" s="1"/>
  <c r="J1243" i="8"/>
  <c r="J360" i="8" s="1"/>
  <c r="Q1237" i="20"/>
  <c r="N1239" i="20"/>
  <c r="N356" i="20" s="1"/>
  <c r="A250" i="3"/>
  <c r="A251" i="3" s="1"/>
  <c r="A253" i="3" s="1"/>
  <c r="A254" i="3" s="1"/>
  <c r="K1243" i="8"/>
  <c r="K360" i="8" s="1"/>
  <c r="H1243" i="8"/>
  <c r="H360" i="8" s="1"/>
  <c r="F1245" i="8"/>
  <c r="F1247" i="8" s="1"/>
  <c r="I1243" i="8"/>
  <c r="I360" i="8" s="1"/>
  <c r="G1243" i="8"/>
  <c r="G360" i="8" s="1"/>
  <c r="M1239" i="20"/>
  <c r="M356" i="20" s="1"/>
  <c r="L1243" i="8"/>
  <c r="L360" i="8" s="1"/>
  <c r="I1239" i="20"/>
  <c r="I356" i="20" s="1"/>
  <c r="Q1241" i="8"/>
  <c r="L1245" i="8"/>
  <c r="L1247" i="8" s="1"/>
  <c r="L1249" i="8" s="1"/>
  <c r="L1253" i="8" s="1"/>
  <c r="L363" i="8" s="1"/>
  <c r="J1239" i="20"/>
  <c r="J356" i="20" s="1"/>
  <c r="H1239" i="20"/>
  <c r="G1241" i="20"/>
  <c r="G1243" i="20" s="1"/>
  <c r="I1245" i="8"/>
  <c r="I1247" i="8" s="1"/>
  <c r="Q1242" i="8"/>
  <c r="P1243" i="8"/>
  <c r="P360" i="8" s="1"/>
  <c r="K1239" i="20"/>
  <c r="K356" i="20" s="1"/>
  <c r="L1239" i="20"/>
  <c r="L356" i="20" s="1"/>
  <c r="I56" i="14"/>
  <c r="J56" i="14" s="1"/>
  <c r="I59" i="14"/>
  <c r="J59" i="14" s="1"/>
  <c r="E27" i="26"/>
  <c r="E71" i="26" s="1"/>
  <c r="C217" i="28"/>
  <c r="O1239" i="20"/>
  <c r="O356" i="20" s="1"/>
  <c r="M1243" i="8"/>
  <c r="M360" i="8" s="1"/>
  <c r="N1243" i="8"/>
  <c r="N360" i="8" s="1"/>
  <c r="P1239" i="20"/>
  <c r="P356" i="20" s="1"/>
  <c r="Q1238" i="20"/>
  <c r="E31" i="26"/>
  <c r="E75" i="26" s="1"/>
  <c r="L76" i="8"/>
  <c r="M76" i="8"/>
  <c r="O76" i="8"/>
  <c r="K76" i="8"/>
  <c r="H76" i="8"/>
  <c r="J76" i="8"/>
  <c r="D71" i="26"/>
  <c r="D282" i="26" s="1"/>
  <c r="D283" i="26" s="1"/>
  <c r="G283" i="26" s="1"/>
  <c r="A99" i="20"/>
  <c r="A100" i="20" s="1"/>
  <c r="A101" i="20" s="1"/>
  <c r="A102" i="20" s="1"/>
  <c r="A103" i="20" s="1"/>
  <c r="A104" i="20" s="1"/>
  <c r="A127" i="20" s="1"/>
  <c r="A128" i="20" s="1"/>
  <c r="A129" i="20" s="1"/>
  <c r="A130" i="20" s="1"/>
  <c r="A131" i="20" s="1"/>
  <c r="A133" i="20" s="1"/>
  <c r="A134" i="20" s="1"/>
  <c r="A135" i="20" s="1"/>
  <c r="A136" i="20" s="1"/>
  <c r="A137" i="20" s="1"/>
  <c r="A138" i="20" s="1"/>
  <c r="L101" i="20"/>
  <c r="K294" i="2"/>
  <c r="L294" i="2"/>
  <c r="E294" i="2"/>
  <c r="J294" i="2"/>
  <c r="J296" i="2" s="1"/>
  <c r="N294" i="2"/>
  <c r="N300" i="2" s="1"/>
  <c r="G294" i="2"/>
  <c r="G300" i="2" s="1"/>
  <c r="D294" i="2"/>
  <c r="D296" i="2" s="1"/>
  <c r="G40" i="26"/>
  <c r="I40" i="26" s="1"/>
  <c r="A136" i="8"/>
  <c r="A137" i="8" s="1"/>
  <c r="A138" i="8" s="1"/>
  <c r="A139" i="8" s="1"/>
  <c r="A140" i="8" s="1"/>
  <c r="A141" i="8" s="1"/>
  <c r="A143" i="8" s="1"/>
  <c r="A144" i="8" s="1"/>
  <c r="A145" i="8" s="1"/>
  <c r="A146" i="8" s="1"/>
  <c r="A147" i="8" s="1"/>
  <c r="A148" i="8" s="1"/>
  <c r="A150" i="8" s="1"/>
  <c r="A151" i="8" s="1"/>
  <c r="A152" i="8" s="1"/>
  <c r="A153" i="8" s="1"/>
  <c r="A154" i="8" s="1"/>
  <c r="A155" i="8" s="1"/>
  <c r="A157" i="8" s="1"/>
  <c r="A158" i="8" s="1"/>
  <c r="A159" i="8" s="1"/>
  <c r="A160" i="8" s="1"/>
  <c r="A161" i="8" s="1"/>
  <c r="A162" i="8" s="1"/>
  <c r="E1245" i="8"/>
  <c r="E1243" i="8"/>
  <c r="E360" i="8" s="1"/>
  <c r="A196" i="2"/>
  <c r="A197" i="2" s="1"/>
  <c r="A198" i="2" s="1"/>
  <c r="A199" i="2" s="1"/>
  <c r="A200" i="2" s="1"/>
  <c r="A219" i="2" s="1"/>
  <c r="A220" i="2" s="1"/>
  <c r="A221" i="2" s="1"/>
  <c r="A222" i="2" s="1"/>
  <c r="A224" i="2" s="1"/>
  <c r="A225" i="2" s="1"/>
  <c r="A226" i="2" s="1"/>
  <c r="A227" i="2" s="1"/>
  <c r="A228" i="2" s="1"/>
  <c r="A230" i="2" s="1"/>
  <c r="A231" i="2" s="1"/>
  <c r="A232" i="2" s="1"/>
  <c r="A233" i="2" s="1"/>
  <c r="A234" i="2" s="1"/>
  <c r="A236" i="2" s="1"/>
  <c r="A237" i="2" s="1"/>
  <c r="A238" i="2" s="1"/>
  <c r="A239" i="2" s="1"/>
  <c r="A240" i="2" s="1"/>
  <c r="A242" i="2" s="1"/>
  <c r="A243" i="2" s="1"/>
  <c r="A244" i="2" s="1"/>
  <c r="A245" i="2" s="1"/>
  <c r="A246" i="2" s="1"/>
  <c r="I134" i="2"/>
  <c r="I144" i="2"/>
  <c r="I146" i="2" s="1"/>
  <c r="K134" i="2"/>
  <c r="K144" i="2"/>
  <c r="E134" i="2"/>
  <c r="E144" i="2"/>
  <c r="E146" i="2" s="1"/>
  <c r="E648" i="20"/>
  <c r="E155" i="20" s="1"/>
  <c r="P81" i="2"/>
  <c r="A21" i="2"/>
  <c r="A22" i="2" s="1"/>
  <c r="A24" i="2" s="1"/>
  <c r="A25" i="2" s="1"/>
  <c r="J1009" i="8"/>
  <c r="P125" i="2"/>
  <c r="M134" i="20"/>
  <c r="P200" i="8"/>
  <c r="N100" i="20"/>
  <c r="P785" i="8"/>
  <c r="P1288" i="8" s="1"/>
  <c r="J493" i="20"/>
  <c r="D301" i="2"/>
  <c r="J1011" i="8"/>
  <c r="D267" i="26"/>
  <c r="D268" i="26" s="1"/>
  <c r="G268" i="26" s="1"/>
  <c r="D61" i="26"/>
  <c r="J263" i="8"/>
  <c r="C458" i="3"/>
  <c r="E458" i="3" s="1"/>
  <c r="I952" i="8"/>
  <c r="G39" i="26"/>
  <c r="E1246" i="8"/>
  <c r="G37" i="26"/>
  <c r="I37" i="26" s="1"/>
  <c r="G603" i="20"/>
  <c r="G605" i="20" s="1"/>
  <c r="G143" i="20" s="1"/>
  <c r="H1243" i="20"/>
  <c r="K1243" i="20"/>
  <c r="O1243" i="20"/>
  <c r="G1233" i="20"/>
  <c r="N836" i="20"/>
  <c r="N1307" i="20" s="1"/>
  <c r="N1327" i="20" s="1"/>
  <c r="E493" i="20"/>
  <c r="F1115" i="20"/>
  <c r="J1243" i="20"/>
  <c r="M1177" i="20"/>
  <c r="M1179" i="20" s="1"/>
  <c r="M1183" i="20" s="1"/>
  <c r="M325" i="20" s="1"/>
  <c r="P1243" i="20"/>
  <c r="N1243" i="20"/>
  <c r="L1243" i="20"/>
  <c r="E1243" i="20"/>
  <c r="K1177" i="20"/>
  <c r="M1243" i="20"/>
  <c r="J603" i="20"/>
  <c r="J1181" i="8"/>
  <c r="P405" i="3"/>
  <c r="E32" i="26" s="1"/>
  <c r="E76" i="26" s="1"/>
  <c r="I424" i="20"/>
  <c r="I429" i="20" s="1"/>
  <c r="I433" i="20" s="1"/>
  <c r="I76" i="20" s="1"/>
  <c r="N1101" i="20"/>
  <c r="O237" i="20"/>
  <c r="N1177" i="20"/>
  <c r="I1243" i="20"/>
  <c r="Q1338" i="20"/>
  <c r="P293" i="20"/>
  <c r="N300" i="20"/>
  <c r="F314" i="20"/>
  <c r="G1177" i="20"/>
  <c r="G1179" i="20" s="1"/>
  <c r="G323" i="20" s="1"/>
  <c r="F1080" i="20"/>
  <c r="F293" i="20"/>
  <c r="N603" i="20"/>
  <c r="I58" i="14"/>
  <c r="J58" i="14"/>
  <c r="E483" i="8"/>
  <c r="E487" i="8" s="1"/>
  <c r="E91" i="8" s="1"/>
  <c r="E228" i="8"/>
  <c r="N605" i="8"/>
  <c r="N1247" i="8"/>
  <c r="G605" i="8"/>
  <c r="J1247" i="8"/>
  <c r="H1247" i="8"/>
  <c r="H1249" i="8" s="1"/>
  <c r="H361" i="8" s="1"/>
  <c r="E67" i="8"/>
  <c r="E405" i="8"/>
  <c r="E407" i="8" s="1"/>
  <c r="K200" i="8"/>
  <c r="G765" i="8"/>
  <c r="P1181" i="8"/>
  <c r="E318" i="8"/>
  <c r="H824" i="8"/>
  <c r="H1306" i="8" s="1"/>
  <c r="M605" i="8"/>
  <c r="M607" i="8" s="1"/>
  <c r="M611" i="8" s="1"/>
  <c r="M148" i="8" s="1"/>
  <c r="G61" i="14"/>
  <c r="H624" i="8"/>
  <c r="H153" i="8" s="1"/>
  <c r="D67" i="5"/>
  <c r="G96" i="3"/>
  <c r="G23" i="23" s="1"/>
  <c r="G24" i="23" s="1"/>
  <c r="G180" i="3"/>
  <c r="J166" i="3"/>
  <c r="N96" i="3"/>
  <c r="N23" i="23" s="1"/>
  <c r="N24" i="23" s="1"/>
  <c r="E96" i="3"/>
  <c r="E23" i="23" s="1"/>
  <c r="E24" i="23" s="1"/>
  <c r="E166" i="3"/>
  <c r="L388" i="3"/>
  <c r="M1213" i="20" s="1"/>
  <c r="A38" i="15"/>
  <c r="A40" i="15" s="1"/>
  <c r="A41" i="15" s="1"/>
  <c r="A43" i="15" s="1"/>
  <c r="A44" i="15" s="1"/>
  <c r="A45" i="15" s="1"/>
  <c r="A46" i="15" s="1"/>
  <c r="A30" i="15"/>
  <c r="A31" i="15" s="1"/>
  <c r="A33" i="15" s="1"/>
  <c r="A34" i="15" s="1"/>
  <c r="A35" i="15" s="1"/>
  <c r="A36" i="15" s="1"/>
  <c r="P979" i="8"/>
  <c r="P981" i="8" s="1"/>
  <c r="I765" i="8"/>
  <c r="N765" i="8"/>
  <c r="N767" i="8" s="1"/>
  <c r="P568" i="8"/>
  <c r="P139" i="8" s="1"/>
  <c r="E61" i="14"/>
  <c r="N785" i="8"/>
  <c r="N1288" i="8" s="1"/>
  <c r="O1089" i="8"/>
  <c r="O299" i="8" s="1"/>
  <c r="G1123" i="8"/>
  <c r="O1247" i="8"/>
  <c r="N1211" i="8"/>
  <c r="E837" i="8"/>
  <c r="E1309" i="8" s="1"/>
  <c r="E1329" i="8" s="1"/>
  <c r="N1213" i="8"/>
  <c r="L402" i="8"/>
  <c r="L1262" i="8" s="1"/>
  <c r="E1154" i="8"/>
  <c r="E1159" i="8" s="1"/>
  <c r="E1163" i="8" s="1"/>
  <c r="E322" i="8" s="1"/>
  <c r="E87" i="8"/>
  <c r="N352" i="8"/>
  <c r="E500" i="8"/>
  <c r="E96" i="8" s="1"/>
  <c r="P1247" i="8"/>
  <c r="E825" i="8"/>
  <c r="E1307" i="8" s="1"/>
  <c r="E1119" i="8"/>
  <c r="H825" i="8"/>
  <c r="H1307" i="8" s="1"/>
  <c r="L1119" i="8"/>
  <c r="L1125" i="8" s="1"/>
  <c r="L313" i="8" s="1"/>
  <c r="M1247" i="8"/>
  <c r="G952" i="8"/>
  <c r="Q1340" i="8"/>
  <c r="N784" i="8"/>
  <c r="N1287" i="8" s="1"/>
  <c r="K304" i="8"/>
  <c r="K1247" i="8"/>
  <c r="K1249" i="8" s="1"/>
  <c r="K1253" i="8" s="1"/>
  <c r="K363" i="8" s="1"/>
  <c r="O478" i="8"/>
  <c r="N1024" i="8"/>
  <c r="H67" i="5"/>
  <c r="O67" i="5"/>
  <c r="L67" i="5"/>
  <c r="F67" i="5"/>
  <c r="J67" i="5"/>
  <c r="M129" i="3"/>
  <c r="M29" i="23" s="1"/>
  <c r="M30" i="23" s="1"/>
  <c r="M170" i="3"/>
  <c r="M180" i="3" s="1"/>
  <c r="M181" i="3" s="1"/>
  <c r="G67" i="5"/>
  <c r="P40" i="5"/>
  <c r="M282" i="2"/>
  <c r="N938" i="8"/>
  <c r="N941" i="8" s="1"/>
  <c r="P22" i="5"/>
  <c r="P24" i="5" s="1"/>
  <c r="O282" i="2"/>
  <c r="O294" i="2" s="1"/>
  <c r="O169" i="3"/>
  <c r="O179" i="3" s="1"/>
  <c r="N169" i="3"/>
  <c r="N179" i="3" s="1"/>
  <c r="I169" i="3"/>
  <c r="I179" i="3" s="1"/>
  <c r="G169" i="3"/>
  <c r="G171" i="3" s="1"/>
  <c r="F169" i="3"/>
  <c r="F179" i="3" s="1"/>
  <c r="C454" i="3"/>
  <c r="J566" i="8"/>
  <c r="G599" i="20"/>
  <c r="G142" i="20" s="1"/>
  <c r="E83" i="22" s="1"/>
  <c r="M1119" i="20"/>
  <c r="P1177" i="20"/>
  <c r="J1105" i="8"/>
  <c r="J1107" i="8" s="1"/>
  <c r="J1111" i="8" s="1"/>
  <c r="J308" i="8" s="1"/>
  <c r="G409" i="8"/>
  <c r="G69" i="8" s="1"/>
  <c r="F1177" i="20"/>
  <c r="J298" i="8"/>
  <c r="O496" i="20"/>
  <c r="G619" i="20"/>
  <c r="F605" i="8"/>
  <c r="E566" i="8"/>
  <c r="M87" i="20"/>
  <c r="J496" i="20"/>
  <c r="J74" i="8"/>
  <c r="J430" i="8"/>
  <c r="M437" i="3"/>
  <c r="M444" i="3" s="1"/>
  <c r="N479" i="20"/>
  <c r="O412" i="20"/>
  <c r="O1264" i="20" s="1"/>
  <c r="J792" i="8"/>
  <c r="J203" i="8" s="1"/>
  <c r="P1173" i="20"/>
  <c r="P322" i="20" s="1"/>
  <c r="H1087" i="8"/>
  <c r="L406" i="20"/>
  <c r="L68" i="20" s="1"/>
  <c r="M412" i="20"/>
  <c r="M1264" i="20" s="1"/>
  <c r="G462" i="20"/>
  <c r="M837" i="20"/>
  <c r="M1308" i="20" s="1"/>
  <c r="M1328" i="20" s="1"/>
  <c r="M788" i="8"/>
  <c r="M1289" i="8" s="1"/>
  <c r="M792" i="8"/>
  <c r="M1290" i="8" s="1"/>
  <c r="M797" i="8"/>
  <c r="M1291" i="8" s="1"/>
  <c r="F427" i="20"/>
  <c r="H837" i="20"/>
  <c r="H1308" i="20" s="1"/>
  <c r="H1328" i="20" s="1"/>
  <c r="E1181" i="8"/>
  <c r="I479" i="20"/>
  <c r="I481" i="20" s="1"/>
  <c r="I88" i="20" s="1"/>
  <c r="O1123" i="8"/>
  <c r="J838" i="8"/>
  <c r="J828" i="8"/>
  <c r="J1308" i="8" s="1"/>
  <c r="M102" i="8"/>
  <c r="F566" i="8"/>
  <c r="I464" i="8"/>
  <c r="I468" i="8"/>
  <c r="I83" i="8" s="1"/>
  <c r="E709" i="8"/>
  <c r="E715" i="8" s="1"/>
  <c r="M547" i="20"/>
  <c r="G464" i="8"/>
  <c r="F431" i="20"/>
  <c r="F75" i="20" s="1"/>
  <c r="O706" i="8"/>
  <c r="O712" i="8" s="1"/>
  <c r="F405" i="8"/>
  <c r="F416" i="8"/>
  <c r="F1267" i="8" s="1"/>
  <c r="F1301" i="8" s="1"/>
  <c r="O757" i="20"/>
  <c r="O190" i="20" s="1"/>
  <c r="P229" i="8"/>
  <c r="P564" i="20"/>
  <c r="P566" i="20" s="1"/>
  <c r="P570" i="20" s="1"/>
  <c r="P138" i="20" s="1"/>
  <c r="I1101" i="20"/>
  <c r="F415" i="8"/>
  <c r="F1266" i="8" s="1"/>
  <c r="F67" i="8"/>
  <c r="P838" i="8"/>
  <c r="H547" i="20"/>
  <c r="G468" i="8"/>
  <c r="G83" i="8" s="1"/>
  <c r="E409" i="8"/>
  <c r="E69" i="8" s="1"/>
  <c r="P1177" i="8"/>
  <c r="P326" i="8" s="1"/>
  <c r="E131" i="8"/>
  <c r="O944" i="20"/>
  <c r="O245" i="20" s="1"/>
  <c r="L908" i="8"/>
  <c r="M81" i="8"/>
  <c r="J73" i="20"/>
  <c r="J481" i="8"/>
  <c r="E81" i="8"/>
  <c r="M406" i="20"/>
  <c r="M68" i="20" s="1"/>
  <c r="E430" i="8"/>
  <c r="E434" i="8"/>
  <c r="F496" i="20"/>
  <c r="F498" i="20" s="1"/>
  <c r="F95" i="20" s="1"/>
  <c r="P1123" i="8"/>
  <c r="P1125" i="8" s="1"/>
  <c r="P313" i="8" s="1"/>
  <c r="K530" i="20"/>
  <c r="O530" i="20"/>
  <c r="L66" i="20"/>
  <c r="N1087" i="8"/>
  <c r="M415" i="8"/>
  <c r="M1266" i="8" s="1"/>
  <c r="M464" i="8"/>
  <c r="E1224" i="8"/>
  <c r="E1226" i="8" s="1"/>
  <c r="E354" i="8" s="1"/>
  <c r="O622" i="8"/>
  <c r="J797" i="8"/>
  <c r="J1291" i="8" s="1"/>
  <c r="G601" i="8"/>
  <c r="G145" i="8" s="1"/>
  <c r="G479" i="20"/>
  <c r="G498" i="8"/>
  <c r="N1119" i="20"/>
  <c r="E416" i="8"/>
  <c r="E1267" i="8" s="1"/>
  <c r="E1301" i="8" s="1"/>
  <c r="I622" i="8"/>
  <c r="M566" i="8"/>
  <c r="J530" i="20"/>
  <c r="P431" i="20"/>
  <c r="P75" i="20" s="1"/>
  <c r="H427" i="20"/>
  <c r="H431" i="20"/>
  <c r="H75" i="20" s="1"/>
  <c r="E415" i="8"/>
  <c r="E1266" i="8" s="1"/>
  <c r="N66" i="20"/>
  <c r="H101" i="20"/>
  <c r="O794" i="20"/>
  <c r="O1289" i="20" s="1"/>
  <c r="H464" i="8"/>
  <c r="K837" i="20"/>
  <c r="K1308" i="20" s="1"/>
  <c r="K1328" i="20" s="1"/>
  <c r="J431" i="20"/>
  <c r="J75" i="20" s="1"/>
  <c r="M466" i="20"/>
  <c r="M82" i="20" s="1"/>
  <c r="O74" i="8"/>
  <c r="G67" i="8"/>
  <c r="K619" i="20"/>
  <c r="M67" i="8"/>
  <c r="F532" i="8"/>
  <c r="L437" i="3"/>
  <c r="M603" i="20"/>
  <c r="I838" i="8"/>
  <c r="I1310" i="8" s="1"/>
  <c r="I1330" i="8" s="1"/>
  <c r="J429" i="20"/>
  <c r="J74" i="20" s="1"/>
  <c r="M462" i="20"/>
  <c r="M464" i="20" s="1"/>
  <c r="M431" i="20"/>
  <c r="M75" i="20" s="1"/>
  <c r="G466" i="20"/>
  <c r="G82" i="20" s="1"/>
  <c r="G415" i="8"/>
  <c r="G1266" i="8" s="1"/>
  <c r="I757" i="20"/>
  <c r="I190" i="20" s="1"/>
  <c r="I947" i="8"/>
  <c r="I250" i="8" s="1"/>
  <c r="E468" i="8"/>
  <c r="E83" i="8" s="1"/>
  <c r="J201" i="8"/>
  <c r="H38" i="22" s="1"/>
  <c r="I229" i="8"/>
  <c r="M409" i="8"/>
  <c r="M69" i="8" s="1"/>
  <c r="M1177" i="8"/>
  <c r="M326" i="8" s="1"/>
  <c r="D437" i="3"/>
  <c r="O789" i="20"/>
  <c r="O1288" i="20" s="1"/>
  <c r="I437" i="3"/>
  <c r="N406" i="20"/>
  <c r="N68" i="20" s="1"/>
  <c r="P73" i="20"/>
  <c r="E1177" i="8"/>
  <c r="E326" i="8" s="1"/>
  <c r="K481" i="8"/>
  <c r="L900" i="20"/>
  <c r="L238" i="20" s="1"/>
  <c r="F437" i="3"/>
  <c r="P412" i="20"/>
  <c r="P1264" i="20" s="1"/>
  <c r="N599" i="20"/>
  <c r="N142" i="20" s="1"/>
  <c r="L462" i="20"/>
  <c r="L464" i="20" s="1"/>
  <c r="L468" i="20" s="1"/>
  <c r="L83" i="20" s="1"/>
  <c r="O437" i="3"/>
  <c r="K951" i="8"/>
  <c r="K952" i="8" s="1"/>
  <c r="O67" i="8"/>
  <c r="M35" i="22" s="1"/>
  <c r="M951" i="8"/>
  <c r="M952" i="8" s="1"/>
  <c r="P131" i="8"/>
  <c r="K706" i="8"/>
  <c r="K712" i="8" s="1"/>
  <c r="K437" i="3"/>
  <c r="I1181" i="8"/>
  <c r="O481" i="8"/>
  <c r="O797" i="8"/>
  <c r="O1291" i="8" s="1"/>
  <c r="E437" i="3"/>
  <c r="J1024" i="8"/>
  <c r="P430" i="8"/>
  <c r="M197" i="20"/>
  <c r="K86" i="22" s="1"/>
  <c r="G1179" i="8"/>
  <c r="G1181" i="8" s="1"/>
  <c r="N1180" i="8"/>
  <c r="N1181" i="8" s="1"/>
  <c r="L80" i="20"/>
  <c r="I1177" i="8"/>
  <c r="I326" i="8" s="1"/>
  <c r="M298" i="8"/>
  <c r="I549" i="8"/>
  <c r="K547" i="20"/>
  <c r="K549" i="20" s="1"/>
  <c r="K129" i="20" s="1"/>
  <c r="I564" i="20"/>
  <c r="P434" i="8"/>
  <c r="I902" i="8"/>
  <c r="I243" i="8" s="1"/>
  <c r="N601" i="8"/>
  <c r="N145" i="8" s="1"/>
  <c r="G406" i="20"/>
  <c r="G68" i="20" s="1"/>
  <c r="N900" i="20"/>
  <c r="N238" i="20" s="1"/>
  <c r="G437" i="3"/>
  <c r="P207" i="3"/>
  <c r="H1119" i="20"/>
  <c r="F789" i="20"/>
  <c r="F1288" i="20" s="1"/>
  <c r="K1123" i="8"/>
  <c r="O201" i="8"/>
  <c r="M38" i="22" s="1"/>
  <c r="O706" i="20"/>
  <c r="J1177" i="20"/>
  <c r="H709" i="8"/>
  <c r="H715" i="8" s="1"/>
  <c r="F434" i="8"/>
  <c r="G1173" i="20"/>
  <c r="G322" i="20" s="1"/>
  <c r="I1177" i="20"/>
  <c r="M707" i="8"/>
  <c r="M713" i="8" s="1"/>
  <c r="F101" i="20"/>
  <c r="I1173" i="20"/>
  <c r="I322" i="20" s="1"/>
  <c r="P66" i="20"/>
  <c r="F430" i="8"/>
  <c r="M794" i="20"/>
  <c r="M1289" i="20" s="1"/>
  <c r="E1043" i="8"/>
  <c r="E1049" i="8" s="1"/>
  <c r="F706" i="20"/>
  <c r="G405" i="8"/>
  <c r="E496" i="20"/>
  <c r="P496" i="20"/>
  <c r="K427" i="20"/>
  <c r="H1101" i="20"/>
  <c r="L1101" i="20"/>
  <c r="H468" i="8"/>
  <c r="H83" i="8" s="1"/>
  <c r="I1052" i="8"/>
  <c r="J900" i="20"/>
  <c r="J238" i="20" s="1"/>
  <c r="K549" i="8"/>
  <c r="E1219" i="8"/>
  <c r="E353" i="8" s="1"/>
  <c r="I1043" i="20"/>
  <c r="I287" i="20" s="1"/>
  <c r="G1087" i="8"/>
  <c r="F601" i="8"/>
  <c r="F145" i="8" s="1"/>
  <c r="M599" i="20"/>
  <c r="M142" i="20" s="1"/>
  <c r="K706" i="20"/>
  <c r="O406" i="20"/>
  <c r="O68" i="20" s="1"/>
  <c r="P481" i="8"/>
  <c r="M416" i="8"/>
  <c r="M1267" i="8" s="1"/>
  <c r="M1301" i="8" s="1"/>
  <c r="H900" i="20"/>
  <c r="H238" i="20" s="1"/>
  <c r="N863" i="8"/>
  <c r="H437" i="3"/>
  <c r="J601" i="8"/>
  <c r="J145" i="8" s="1"/>
  <c r="P792" i="8"/>
  <c r="P203" i="8" s="1"/>
  <c r="M601" i="8"/>
  <c r="M145" i="8" s="1"/>
  <c r="O415" i="8"/>
  <c r="O1266" i="8" s="1"/>
  <c r="K405" i="8"/>
  <c r="K407" i="8" s="1"/>
  <c r="G549" i="8"/>
  <c r="H462" i="20"/>
  <c r="H464" i="20" s="1"/>
  <c r="H81" i="20" s="1"/>
  <c r="K1105" i="8"/>
  <c r="M1101" i="20"/>
  <c r="K409" i="8"/>
  <c r="K69" i="8" s="1"/>
  <c r="L765" i="8"/>
  <c r="N856" i="20"/>
  <c r="N231" i="20" s="1"/>
  <c r="P788" i="8"/>
  <c r="P1289" i="8" s="1"/>
  <c r="O788" i="8"/>
  <c r="O1289" i="8" s="1"/>
  <c r="F603" i="20"/>
  <c r="E88" i="8"/>
  <c r="O409" i="8"/>
  <c r="O69" i="8" s="1"/>
  <c r="K415" i="8"/>
  <c r="K1266" i="8" s="1"/>
  <c r="P532" i="8"/>
  <c r="I1087" i="8"/>
  <c r="J603" i="8"/>
  <c r="J605" i="8" s="1"/>
  <c r="E1087" i="8"/>
  <c r="K709" i="8"/>
  <c r="K715" i="8" s="1"/>
  <c r="P240" i="3"/>
  <c r="H430" i="8"/>
  <c r="H74" i="8"/>
  <c r="O405" i="8"/>
  <c r="N908" i="8"/>
  <c r="N857" i="8"/>
  <c r="N236" i="8" s="1"/>
  <c r="G947" i="8"/>
  <c r="G250" i="8" s="1"/>
  <c r="P622" i="8"/>
  <c r="P794" i="20"/>
  <c r="P1289" i="20" s="1"/>
  <c r="L496" i="20"/>
  <c r="F1159" i="8"/>
  <c r="F320" i="8" s="1"/>
  <c r="K416" i="8"/>
  <c r="K1267" i="8" s="1"/>
  <c r="K1301" i="8" s="1"/>
  <c r="K863" i="8"/>
  <c r="P201" i="8"/>
  <c r="N38" i="22" s="1"/>
  <c r="H908" i="8"/>
  <c r="K705" i="20"/>
  <c r="N797" i="8"/>
  <c r="N1291" i="8" s="1"/>
  <c r="H80" i="20"/>
  <c r="J129" i="3"/>
  <c r="J29" i="23" s="1"/>
  <c r="J30" i="23" s="1"/>
  <c r="J437" i="3"/>
  <c r="M657" i="8"/>
  <c r="M663" i="8" s="1"/>
  <c r="M666" i="8" s="1"/>
  <c r="G412" i="20"/>
  <c r="G1264" i="20" s="1"/>
  <c r="F762" i="8"/>
  <c r="F765" i="8" s="1"/>
  <c r="F767" i="8" s="1"/>
  <c r="K496" i="20"/>
  <c r="K498" i="20" s="1"/>
  <c r="K502" i="20" s="1"/>
  <c r="K97" i="20" s="1"/>
  <c r="F88" i="8"/>
  <c r="L619" i="20"/>
  <c r="J766" i="20"/>
  <c r="J192" i="20" s="1"/>
  <c r="P765" i="8"/>
  <c r="N430" i="8"/>
  <c r="M305" i="8"/>
  <c r="H149" i="20"/>
  <c r="E179" i="3"/>
  <c r="P257" i="3"/>
  <c r="P424" i="3"/>
  <c r="P863" i="8"/>
  <c r="E603" i="20"/>
  <c r="N710" i="8"/>
  <c r="F794" i="20"/>
  <c r="F1289" i="20" s="1"/>
  <c r="L1119" i="20"/>
  <c r="L1121" i="20" s="1"/>
  <c r="M427" i="20"/>
  <c r="M429" i="20" s="1"/>
  <c r="M74" i="20" s="1"/>
  <c r="L464" i="8"/>
  <c r="G1101" i="20"/>
  <c r="N434" i="8"/>
  <c r="P530" i="20"/>
  <c r="N902" i="8"/>
  <c r="N243" i="8" s="1"/>
  <c r="G1105" i="8"/>
  <c r="E760" i="8"/>
  <c r="E194" i="8" s="1"/>
  <c r="E762" i="8"/>
  <c r="E765" i="8" s="1"/>
  <c r="L468" i="8"/>
  <c r="L83" i="8" s="1"/>
  <c r="F479" i="20"/>
  <c r="E601" i="8"/>
  <c r="E145" i="8" s="1"/>
  <c r="E622" i="8"/>
  <c r="I863" i="8"/>
  <c r="P856" i="20"/>
  <c r="P231" i="20" s="1"/>
  <c r="E605" i="8"/>
  <c r="J197" i="20"/>
  <c r="H86" i="22" s="1"/>
  <c r="J789" i="20"/>
  <c r="F129" i="3"/>
  <c r="F29" i="23" s="1"/>
  <c r="F30" i="23" s="1"/>
  <c r="K857" i="8"/>
  <c r="K236" i="8" s="1"/>
  <c r="H902" i="8"/>
  <c r="H243" i="8" s="1"/>
  <c r="N1173" i="20"/>
  <c r="N322" i="20" s="1"/>
  <c r="F599" i="20"/>
  <c r="F142" i="20" s="1"/>
  <c r="J87" i="20"/>
  <c r="E128" i="20"/>
  <c r="P789" i="20"/>
  <c r="N794" i="20"/>
  <c r="N1289" i="20" s="1"/>
  <c r="N838" i="8"/>
  <c r="J500" i="8"/>
  <c r="J504" i="8" s="1"/>
  <c r="J98" i="8" s="1"/>
  <c r="M900" i="20"/>
  <c r="M238" i="20" s="1"/>
  <c r="G1024" i="8"/>
  <c r="E481" i="20"/>
  <c r="E485" i="20" s="1"/>
  <c r="E90" i="20" s="1"/>
  <c r="G837" i="20"/>
  <c r="G1308" i="20" s="1"/>
  <c r="G1328" i="20" s="1"/>
  <c r="G201" i="8"/>
  <c r="E38" i="22" s="1"/>
  <c r="F1173" i="20"/>
  <c r="F322" i="20" s="1"/>
  <c r="J534" i="8"/>
  <c r="J538" i="8" s="1"/>
  <c r="J105" i="8" s="1"/>
  <c r="N970" i="20"/>
  <c r="N252" i="20" s="1"/>
  <c r="G789" i="20"/>
  <c r="G199" i="20" s="1"/>
  <c r="P900" i="20"/>
  <c r="P238" i="20" s="1"/>
  <c r="K762" i="8"/>
  <c r="K765" i="8" s="1"/>
  <c r="I857" i="8"/>
  <c r="I236" i="8" s="1"/>
  <c r="O128" i="20"/>
  <c r="E599" i="20"/>
  <c r="E142" i="20" s="1"/>
  <c r="N708" i="20"/>
  <c r="N723" i="20" s="1"/>
  <c r="G794" i="20"/>
  <c r="G1289" i="20" s="1"/>
  <c r="G706" i="20"/>
  <c r="I462" i="20"/>
  <c r="O564" i="20"/>
  <c r="P464" i="8"/>
  <c r="M532" i="20"/>
  <c r="M536" i="20" s="1"/>
  <c r="M104" i="20" s="1"/>
  <c r="I269" i="3"/>
  <c r="I433" i="3" s="1"/>
  <c r="I434" i="3" s="1"/>
  <c r="Q1242" i="20"/>
  <c r="L709" i="8"/>
  <c r="L715" i="8" s="1"/>
  <c r="K968" i="20"/>
  <c r="K252" i="20" s="1"/>
  <c r="N789" i="20"/>
  <c r="N199" i="20" s="1"/>
  <c r="H621" i="20"/>
  <c r="H150" i="20" s="1"/>
  <c r="H706" i="20"/>
  <c r="H856" i="20"/>
  <c r="H231" i="20" s="1"/>
  <c r="P857" i="8"/>
  <c r="P236" i="8" s="1"/>
  <c r="H705" i="20"/>
  <c r="N229" i="8"/>
  <c r="N769" i="8"/>
  <c r="N196" i="8" s="1"/>
  <c r="P427" i="3"/>
  <c r="N437" i="3"/>
  <c r="G705" i="20"/>
  <c r="P466" i="20"/>
  <c r="P1262" i="20" s="1"/>
  <c r="N792" i="8"/>
  <c r="N203" i="8" s="1"/>
  <c r="C457" i="3"/>
  <c r="E457" i="3" s="1"/>
  <c r="G900" i="20"/>
  <c r="G238" i="20" s="1"/>
  <c r="K769" i="8"/>
  <c r="K196" i="8" s="1"/>
  <c r="P468" i="8"/>
  <c r="P83" i="8" s="1"/>
  <c r="E1177" i="20"/>
  <c r="L902" i="8"/>
  <c r="L243" i="8" s="1"/>
  <c r="E1173" i="20"/>
  <c r="E322" i="20" s="1"/>
  <c r="N757" i="20"/>
  <c r="K468" i="8"/>
  <c r="K83" i="8" s="1"/>
  <c r="M1179" i="8"/>
  <c r="M1181" i="8" s="1"/>
  <c r="F201" i="8"/>
  <c r="D38" i="22" s="1"/>
  <c r="F707" i="8"/>
  <c r="F713" i="8" s="1"/>
  <c r="F705" i="20"/>
  <c r="K298" i="8"/>
  <c r="K1087" i="8"/>
  <c r="I1119" i="20"/>
  <c r="I498" i="8"/>
  <c r="I500" i="8" s="1"/>
  <c r="P462" i="20"/>
  <c r="I496" i="20"/>
  <c r="F564" i="20"/>
  <c r="F566" i="20" s="1"/>
  <c r="F136" i="20" s="1"/>
  <c r="E1119" i="20"/>
  <c r="E1121" i="20" s="1"/>
  <c r="E1125" i="20" s="1"/>
  <c r="E311" i="20" s="1"/>
  <c r="K464" i="8"/>
  <c r="K466" i="8" s="1"/>
  <c r="G792" i="8"/>
  <c r="G203" i="8" s="1"/>
  <c r="I466" i="20"/>
  <c r="I82" i="20" s="1"/>
  <c r="K466" i="20"/>
  <c r="K82" i="20" s="1"/>
  <c r="J481" i="20"/>
  <c r="J88" i="20" s="1"/>
  <c r="I708" i="8"/>
  <c r="I714" i="8" s="1"/>
  <c r="P374" i="3"/>
  <c r="L179" i="3"/>
  <c r="G532" i="8"/>
  <c r="F857" i="8"/>
  <c r="F236" i="8" s="1"/>
  <c r="L856" i="20"/>
  <c r="L231" i="20" s="1"/>
  <c r="L706" i="8"/>
  <c r="L712" i="8" s="1"/>
  <c r="P149" i="20"/>
  <c r="I1123" i="8"/>
  <c r="K431" i="20"/>
  <c r="K75" i="20" s="1"/>
  <c r="L131" i="8"/>
  <c r="N760" i="8"/>
  <c r="N774" i="8" s="1"/>
  <c r="L498" i="8"/>
  <c r="P95" i="8"/>
  <c r="P498" i="8"/>
  <c r="K74" i="8"/>
  <c r="K430" i="8"/>
  <c r="O479" i="20"/>
  <c r="O481" i="20" s="1"/>
  <c r="O87" i="20"/>
  <c r="P176" i="3"/>
  <c r="N462" i="20"/>
  <c r="P547" i="20"/>
  <c r="N837" i="20"/>
  <c r="N1308" i="20" s="1"/>
  <c r="N1328" i="20" s="1"/>
  <c r="F792" i="8"/>
  <c r="F203" i="8" s="1"/>
  <c r="F900" i="20"/>
  <c r="F238" i="20" s="1"/>
  <c r="F1179" i="8"/>
  <c r="F1181" i="8" s="1"/>
  <c r="O900" i="20"/>
  <c r="O238" i="20" s="1"/>
  <c r="M856" i="20"/>
  <c r="M231" i="20" s="1"/>
  <c r="P432" i="3"/>
  <c r="K462" i="20"/>
  <c r="N788" i="8"/>
  <c r="N1289" i="8" s="1"/>
  <c r="J1173" i="20"/>
  <c r="J322" i="20" s="1"/>
  <c r="F797" i="8"/>
  <c r="F1291" i="8" s="1"/>
  <c r="G757" i="20"/>
  <c r="G190" i="20" s="1"/>
  <c r="O430" i="8"/>
  <c r="O566" i="8"/>
  <c r="O568" i="8" s="1"/>
  <c r="O572" i="8" s="1"/>
  <c r="O141" i="8" s="1"/>
  <c r="N1015" i="20"/>
  <c r="N259" i="20" s="1"/>
  <c r="G788" i="8"/>
  <c r="G1289" i="8" s="1"/>
  <c r="G129" i="3"/>
  <c r="G29" i="23" s="1"/>
  <c r="G30" i="23" s="1"/>
  <c r="G709" i="8"/>
  <c r="G715" i="8" s="1"/>
  <c r="G707" i="20"/>
  <c r="I707" i="8"/>
  <c r="I713" i="8" s="1"/>
  <c r="I705" i="20"/>
  <c r="E149" i="20"/>
  <c r="E619" i="20"/>
  <c r="E621" i="20" s="1"/>
  <c r="G774" i="8"/>
  <c r="F760" i="8"/>
  <c r="F194" i="8" s="1"/>
  <c r="K129" i="3"/>
  <c r="K29" i="23" s="1"/>
  <c r="K30" i="23" s="1"/>
  <c r="G657" i="20"/>
  <c r="G672" i="20" s="1"/>
  <c r="G1273" i="20" s="1"/>
  <c r="J1015" i="20"/>
  <c r="J259" i="20" s="1"/>
  <c r="F621" i="20"/>
  <c r="F150" i="20" s="1"/>
  <c r="P551" i="8"/>
  <c r="P132" i="8" s="1"/>
  <c r="N166" i="3"/>
  <c r="O863" i="8"/>
  <c r="Q1157" i="8"/>
  <c r="G666" i="8"/>
  <c r="P35" i="23"/>
  <c r="E771" i="20"/>
  <c r="F1101" i="20"/>
  <c r="F1103" i="20" s="1"/>
  <c r="O621" i="20"/>
  <c r="O625" i="20" s="1"/>
  <c r="O152" i="20" s="1"/>
  <c r="H657" i="20"/>
  <c r="H667" i="20" s="1"/>
  <c r="H158" i="20" s="1"/>
  <c r="G1018" i="8"/>
  <c r="G264" i="8" s="1"/>
  <c r="J547" i="20"/>
  <c r="O464" i="8"/>
  <c r="O466" i="8" s="1"/>
  <c r="G839" i="8"/>
  <c r="M534" i="8"/>
  <c r="M538" i="8" s="1"/>
  <c r="M105" i="8" s="1"/>
  <c r="P760" i="8"/>
  <c r="P194" i="8" s="1"/>
  <c r="P769" i="8"/>
  <c r="P196" i="8" s="1"/>
  <c r="Q319" i="8"/>
  <c r="D46" i="14" s="1"/>
  <c r="G1247" i="8"/>
  <c r="K1216" i="8"/>
  <c r="K1221" i="8" s="1"/>
  <c r="K1224" i="8" s="1"/>
  <c r="P252" i="20"/>
  <c r="M1013" i="20"/>
  <c r="M1015" i="20" s="1"/>
  <c r="M259" i="20" s="1"/>
  <c r="M1016" i="8"/>
  <c r="M1022" i="8" s="1"/>
  <c r="O252" i="20"/>
  <c r="N547" i="20"/>
  <c r="O837" i="20"/>
  <c r="O1308" i="20" s="1"/>
  <c r="O1328" i="20" s="1"/>
  <c r="I1288" i="20"/>
  <c r="J856" i="20"/>
  <c r="J231" i="20" s="1"/>
  <c r="F837" i="20"/>
  <c r="F1308" i="20" s="1"/>
  <c r="F1328" i="20" s="1"/>
  <c r="N1018" i="8"/>
  <c r="N264" i="8" s="1"/>
  <c r="Q756" i="20"/>
  <c r="K1290" i="8"/>
  <c r="K203" i="8"/>
  <c r="P757" i="20"/>
  <c r="P766" i="20"/>
  <c r="P192" i="20" s="1"/>
  <c r="K789" i="20"/>
  <c r="K199" i="20" s="1"/>
  <c r="I1046" i="8"/>
  <c r="I291" i="8" s="1"/>
  <c r="K794" i="20"/>
  <c r="K1289" i="20" s="1"/>
  <c r="Q826" i="20"/>
  <c r="J464" i="8"/>
  <c r="J466" i="8" s="1"/>
  <c r="J82" i="8" s="1"/>
  <c r="J1123" i="8"/>
  <c r="J36" i="23"/>
  <c r="P36" i="23" s="1"/>
  <c r="J468" i="8"/>
  <c r="J83" i="8" s="1"/>
  <c r="N466" i="20"/>
  <c r="N82" i="20" s="1"/>
  <c r="M551" i="8"/>
  <c r="M555" i="8" s="1"/>
  <c r="M134" i="8" s="1"/>
  <c r="N1107" i="8"/>
  <c r="N1111" i="8" s="1"/>
  <c r="N308" i="8" s="1"/>
  <c r="N978" i="8"/>
  <c r="N979" i="8" s="1"/>
  <c r="Q897" i="20"/>
  <c r="Q401" i="20"/>
  <c r="Q531" i="8"/>
  <c r="Q759" i="8"/>
  <c r="J769" i="8"/>
  <c r="J196" i="8" s="1"/>
  <c r="J760" i="8"/>
  <c r="J762" i="8"/>
  <c r="J765" i="8" s="1"/>
  <c r="O764" i="8"/>
  <c r="O765" i="8" s="1"/>
  <c r="O760" i="8"/>
  <c r="F462" i="20"/>
  <c r="J179" i="3"/>
  <c r="J171" i="3"/>
  <c r="F757" i="20"/>
  <c r="K771" i="20"/>
  <c r="J771" i="20"/>
  <c r="Q224" i="20"/>
  <c r="K564" i="20"/>
  <c r="K566" i="20" s="1"/>
  <c r="K136" i="20" s="1"/>
  <c r="J1119" i="20"/>
  <c r="L427" i="20"/>
  <c r="P18" i="23"/>
  <c r="G660" i="8"/>
  <c r="I413" i="20"/>
  <c r="I1265" i="20" s="1"/>
  <c r="I1299" i="20" s="1"/>
  <c r="J466" i="20"/>
  <c r="J82" i="20" s="1"/>
  <c r="Q404" i="8"/>
  <c r="I66" i="20"/>
  <c r="H564" i="20"/>
  <c r="J462" i="20"/>
  <c r="F1119" i="20"/>
  <c r="P1101" i="20"/>
  <c r="H415" i="8"/>
  <c r="H1266" i="8" s="1"/>
  <c r="P17" i="23"/>
  <c r="I707" i="20"/>
  <c r="Q461" i="20"/>
  <c r="O857" i="8"/>
  <c r="O236" i="8" s="1"/>
  <c r="I412" i="20"/>
  <c r="I621" i="20"/>
  <c r="I150" i="20" s="1"/>
  <c r="F500" i="8"/>
  <c r="F96" i="8" s="1"/>
  <c r="K1103" i="20"/>
  <c r="K1107" i="20" s="1"/>
  <c r="K304" i="20" s="1"/>
  <c r="E464" i="20"/>
  <c r="E81" i="20" s="1"/>
  <c r="E1101" i="20"/>
  <c r="O203" i="8"/>
  <c r="O468" i="8"/>
  <c r="O83" i="8" s="1"/>
  <c r="I766" i="20"/>
  <c r="I192" i="20" s="1"/>
  <c r="P47" i="23"/>
  <c r="Q315" i="20"/>
  <c r="I900" i="20"/>
  <c r="I238" i="20" s="1"/>
  <c r="K900" i="20"/>
  <c r="K238" i="20" s="1"/>
  <c r="O599" i="20"/>
  <c r="O142" i="20" s="1"/>
  <c r="N83" i="8"/>
  <c r="N1264" i="8"/>
  <c r="F904" i="8"/>
  <c r="F908" i="8" s="1"/>
  <c r="F902" i="8"/>
  <c r="F243" i="8" s="1"/>
  <c r="H599" i="20"/>
  <c r="H601" i="20"/>
  <c r="E788" i="8"/>
  <c r="E1289" i="8" s="1"/>
  <c r="E201" i="8"/>
  <c r="C38" i="22" s="1"/>
  <c r="E797" i="8"/>
  <c r="E1291" i="8" s="1"/>
  <c r="O657" i="8"/>
  <c r="O663" i="8" s="1"/>
  <c r="O666" i="8" s="1"/>
  <c r="O654" i="20"/>
  <c r="O657" i="20" s="1"/>
  <c r="O672" i="20" s="1"/>
  <c r="O1273" i="20" s="1"/>
  <c r="N619" i="20"/>
  <c r="N149" i="20"/>
  <c r="L135" i="20"/>
  <c r="L564" i="20"/>
  <c r="J707" i="8"/>
  <c r="J713" i="8" s="1"/>
  <c r="J705" i="20"/>
  <c r="E305" i="8"/>
  <c r="E1105" i="8"/>
  <c r="F312" i="8"/>
  <c r="F1123" i="8"/>
  <c r="L766" i="20"/>
  <c r="L192" i="20" s="1"/>
  <c r="L757" i="20"/>
  <c r="P1105" i="8"/>
  <c r="P305" i="8"/>
  <c r="L1175" i="20"/>
  <c r="L1177" i="20" s="1"/>
  <c r="L1173" i="20"/>
  <c r="L322" i="20" s="1"/>
  <c r="N716" i="8"/>
  <c r="G1043" i="8"/>
  <c r="G1049" i="8" s="1"/>
  <c r="G1040" i="20"/>
  <c r="O604" i="8"/>
  <c r="O605" i="8" s="1"/>
  <c r="M706" i="20"/>
  <c r="M708" i="8"/>
  <c r="M714" i="8" s="1"/>
  <c r="E454" i="3"/>
  <c r="J947" i="8"/>
  <c r="J250" i="8" s="1"/>
  <c r="J949" i="8"/>
  <c r="J952" i="8" s="1"/>
  <c r="M769" i="8"/>
  <c r="M196" i="8" s="1"/>
  <c r="M760" i="8"/>
  <c r="M762" i="8"/>
  <c r="M765" i="8" s="1"/>
  <c r="L602" i="20"/>
  <c r="L603" i="20" s="1"/>
  <c r="L599" i="20"/>
  <c r="L142" i="20" s="1"/>
  <c r="M94" i="20"/>
  <c r="Q495" i="20"/>
  <c r="H87" i="20"/>
  <c r="H479" i="20"/>
  <c r="M904" i="8"/>
  <c r="M908" i="8" s="1"/>
  <c r="M902" i="8"/>
  <c r="M243" i="8" s="1"/>
  <c r="H1175" i="20"/>
  <c r="H1177" i="20" s="1"/>
  <c r="Q1171" i="20"/>
  <c r="H1173" i="20"/>
  <c r="Q896" i="20"/>
  <c r="E900" i="20"/>
  <c r="H857" i="8"/>
  <c r="H236" i="8" s="1"/>
  <c r="H862" i="8"/>
  <c r="P599" i="20"/>
  <c r="P142" i="20" s="1"/>
  <c r="P602" i="20"/>
  <c r="P603" i="20" s="1"/>
  <c r="M619" i="20"/>
  <c r="M149" i="20"/>
  <c r="G564" i="20"/>
  <c r="G135" i="20"/>
  <c r="Q563" i="20"/>
  <c r="I968" i="20"/>
  <c r="I252" i="20" s="1"/>
  <c r="I971" i="8"/>
  <c r="L298" i="8"/>
  <c r="Q1086" i="8"/>
  <c r="E286" i="26" s="1"/>
  <c r="E287" i="26" s="1"/>
  <c r="L1087" i="8"/>
  <c r="H201" i="8"/>
  <c r="F38" i="22" s="1"/>
  <c r="H788" i="8"/>
  <c r="H1289" i="8" s="1"/>
  <c r="H797" i="8"/>
  <c r="H1291" i="8" s="1"/>
  <c r="E1215" i="20"/>
  <c r="E349" i="20" s="1"/>
  <c r="I602" i="20"/>
  <c r="I603" i="20" s="1"/>
  <c r="J706" i="20"/>
  <c r="J708" i="8"/>
  <c r="J714" i="8" s="1"/>
  <c r="K161" i="3"/>
  <c r="P947" i="8"/>
  <c r="P250" i="8" s="1"/>
  <c r="P949" i="8"/>
  <c r="P952" i="8" s="1"/>
  <c r="E905" i="8"/>
  <c r="Q899" i="8"/>
  <c r="H601" i="8"/>
  <c r="Q599" i="8"/>
  <c r="H603" i="8"/>
  <c r="F294" i="20"/>
  <c r="Q294" i="20" s="1"/>
  <c r="Q1082" i="20"/>
  <c r="L431" i="20"/>
  <c r="L75" i="20" s="1"/>
  <c r="Q943" i="20"/>
  <c r="H704" i="20"/>
  <c r="H706" i="8"/>
  <c r="F152" i="8"/>
  <c r="F622" i="8"/>
  <c r="Q621" i="8"/>
  <c r="Q784" i="20"/>
  <c r="E789" i="20"/>
  <c r="E197" i="20"/>
  <c r="J96" i="3"/>
  <c r="J23" i="23" s="1"/>
  <c r="J24" i="23" s="1"/>
  <c r="J619" i="20"/>
  <c r="J149" i="20"/>
  <c r="H566" i="8"/>
  <c r="H138" i="8"/>
  <c r="Q754" i="20"/>
  <c r="H757" i="20"/>
  <c r="K602" i="20"/>
  <c r="K603" i="20" s="1"/>
  <c r="K599" i="20"/>
  <c r="K142" i="20" s="1"/>
  <c r="I83" i="22" s="1"/>
  <c r="Q1153" i="20"/>
  <c r="K1177" i="8"/>
  <c r="K326" i="8" s="1"/>
  <c r="K1180" i="8"/>
  <c r="K1181" i="8" s="1"/>
  <c r="F657" i="8"/>
  <c r="F654" i="20"/>
  <c r="F657" i="20" s="1"/>
  <c r="L1177" i="8"/>
  <c r="L326" i="8" s="1"/>
  <c r="L1179" i="8"/>
  <c r="L1181" i="8" s="1"/>
  <c r="P907" i="8"/>
  <c r="P908" i="8" s="1"/>
  <c r="P902" i="8"/>
  <c r="P243" i="8" s="1"/>
  <c r="Q898" i="20"/>
  <c r="E859" i="8"/>
  <c r="E857" i="8"/>
  <c r="Q853" i="8"/>
  <c r="Q600" i="8"/>
  <c r="H604" i="8"/>
  <c r="L604" i="8"/>
  <c r="L605" i="8" s="1"/>
  <c r="L607" i="8" s="1"/>
  <c r="L601" i="8"/>
  <c r="L145" i="8" s="1"/>
  <c r="Q1175" i="8"/>
  <c r="K138" i="8"/>
  <c r="K566" i="8"/>
  <c r="K568" i="8" s="1"/>
  <c r="N549" i="8"/>
  <c r="N131" i="8"/>
  <c r="H409" i="8"/>
  <c r="H67" i="8"/>
  <c r="H405" i="8"/>
  <c r="K774" i="8"/>
  <c r="K194" i="8"/>
  <c r="M95" i="8"/>
  <c r="M498" i="8"/>
  <c r="M500" i="8" s="1"/>
  <c r="F305" i="8"/>
  <c r="F1105" i="8"/>
  <c r="Q546" i="20"/>
  <c r="F128" i="20"/>
  <c r="J66" i="20"/>
  <c r="J406" i="20"/>
  <c r="H1177" i="8"/>
  <c r="H1179" i="8"/>
  <c r="O902" i="8"/>
  <c r="O243" i="8" s="1"/>
  <c r="O905" i="8"/>
  <c r="O908" i="8" s="1"/>
  <c r="O910" i="8" s="1"/>
  <c r="O244" i="8" s="1"/>
  <c r="Q855" i="20"/>
  <c r="I760" i="8"/>
  <c r="I769" i="8"/>
  <c r="I196" i="8" s="1"/>
  <c r="P604" i="8"/>
  <c r="P605" i="8" s="1"/>
  <c r="P601" i="8"/>
  <c r="P145" i="8" s="1"/>
  <c r="H161" i="3"/>
  <c r="H179" i="3"/>
  <c r="P159" i="3"/>
  <c r="M622" i="8"/>
  <c r="M624" i="8" s="1"/>
  <c r="M628" i="8" s="1"/>
  <c r="M155" i="8" s="1"/>
  <c r="M152" i="8"/>
  <c r="I101" i="20"/>
  <c r="I530" i="20"/>
  <c r="I532" i="20" s="1"/>
  <c r="H947" i="8"/>
  <c r="H250" i="8" s="1"/>
  <c r="H951" i="8"/>
  <c r="H952" i="8" s="1"/>
  <c r="K179" i="3"/>
  <c r="K171" i="3"/>
  <c r="O603" i="20"/>
  <c r="E944" i="20"/>
  <c r="Q941" i="20"/>
  <c r="Q901" i="8"/>
  <c r="G907" i="8"/>
  <c r="E856" i="20"/>
  <c r="Q852" i="20"/>
  <c r="Q618" i="20"/>
  <c r="M496" i="20"/>
  <c r="Q478" i="20"/>
  <c r="L947" i="8"/>
  <c r="L250" i="8" s="1"/>
  <c r="L951" i="8"/>
  <c r="L952" i="8" s="1"/>
  <c r="J902" i="8"/>
  <c r="J243" i="8" s="1"/>
  <c r="J904" i="8"/>
  <c r="J908" i="8" s="1"/>
  <c r="J859" i="8"/>
  <c r="J863" i="8" s="1"/>
  <c r="J857" i="8"/>
  <c r="J236" i="8" s="1"/>
  <c r="I601" i="8"/>
  <c r="I145" i="8" s="1"/>
  <c r="I604" i="8"/>
  <c r="I605" i="8" s="1"/>
  <c r="E312" i="8"/>
  <c r="E1123" i="8"/>
  <c r="Q1122" i="8"/>
  <c r="Q1118" i="20"/>
  <c r="F951" i="8"/>
  <c r="Q946" i="8"/>
  <c r="L708" i="8"/>
  <c r="L714" i="8" s="1"/>
  <c r="L706" i="20"/>
  <c r="K654" i="20"/>
  <c r="K657" i="20" s="1"/>
  <c r="K657" i="8"/>
  <c r="K663" i="8" s="1"/>
  <c r="J152" i="8"/>
  <c r="J622" i="8"/>
  <c r="J624" i="8" s="1"/>
  <c r="H769" i="8"/>
  <c r="H762" i="8"/>
  <c r="H765" i="8" s="1"/>
  <c r="H767" i="8" s="1"/>
  <c r="Q757" i="8"/>
  <c r="H760" i="8"/>
  <c r="K604" i="8"/>
  <c r="K605" i="8" s="1"/>
  <c r="K601" i="8"/>
  <c r="K145" i="8" s="1"/>
  <c r="I35" i="22" s="1"/>
  <c r="N95" i="8"/>
  <c r="N498" i="8"/>
  <c r="N500" i="8" s="1"/>
  <c r="F828" i="8"/>
  <c r="F1308" i="8" s="1"/>
  <c r="F229" i="8"/>
  <c r="O1176" i="20"/>
  <c r="O1177" i="20" s="1"/>
  <c r="O1179" i="20" s="1"/>
  <c r="O1183" i="20" s="1"/>
  <c r="O325" i="20" s="1"/>
  <c r="O1173" i="20"/>
  <c r="O322" i="20" s="1"/>
  <c r="Q899" i="20"/>
  <c r="G856" i="20"/>
  <c r="G231" i="20" s="1"/>
  <c r="Q854" i="20"/>
  <c r="P1087" i="8"/>
  <c r="P1089" i="8" s="1"/>
  <c r="P299" i="8" s="1"/>
  <c r="P298" i="8"/>
  <c r="N532" i="8"/>
  <c r="N534" i="8" s="1"/>
  <c r="N538" i="8" s="1"/>
  <c r="N105" i="8" s="1"/>
  <c r="N102" i="8"/>
  <c r="M1288" i="20"/>
  <c r="M199" i="20"/>
  <c r="L88" i="8"/>
  <c r="L481" i="8"/>
  <c r="Q463" i="8"/>
  <c r="F81" i="8"/>
  <c r="F468" i="8"/>
  <c r="F464" i="8"/>
  <c r="L74" i="8"/>
  <c r="L430" i="8"/>
  <c r="H481" i="8"/>
  <c r="H88" i="8"/>
  <c r="Q480" i="8"/>
  <c r="K201" i="8"/>
  <c r="I38" i="22" s="1"/>
  <c r="K788" i="8"/>
  <c r="K1289" i="8" s="1"/>
  <c r="K797" i="8"/>
  <c r="K1291" i="8" s="1"/>
  <c r="F131" i="8"/>
  <c r="F549" i="8"/>
  <c r="O856" i="20"/>
  <c r="O231" i="20" s="1"/>
  <c r="Q548" i="8"/>
  <c r="F944" i="20"/>
  <c r="F245" i="20" s="1"/>
  <c r="K905" i="8"/>
  <c r="K908" i="8" s="1"/>
  <c r="K910" i="8" s="1"/>
  <c r="K244" i="8" s="1"/>
  <c r="K902" i="8"/>
  <c r="K243" i="8" s="1"/>
  <c r="E904" i="8"/>
  <c r="E902" i="8"/>
  <c r="Q898" i="8"/>
  <c r="F856" i="20"/>
  <c r="F231" i="20" s="1"/>
  <c r="Q853" i="20"/>
  <c r="L857" i="8"/>
  <c r="L236" i="8" s="1"/>
  <c r="L862" i="8"/>
  <c r="L863" i="8" s="1"/>
  <c r="O947" i="8"/>
  <c r="O250" i="8" s="1"/>
  <c r="O951" i="8"/>
  <c r="O952" i="8" s="1"/>
  <c r="Q1172" i="20"/>
  <c r="E1043" i="20"/>
  <c r="E287" i="20" s="1"/>
  <c r="E704" i="20"/>
  <c r="G706" i="8"/>
  <c r="G704" i="20"/>
  <c r="Q308" i="20"/>
  <c r="F466" i="20"/>
  <c r="L797" i="8"/>
  <c r="L1291" i="8" s="1"/>
  <c r="L788" i="8"/>
  <c r="L1289" i="8" s="1"/>
  <c r="L201" i="8"/>
  <c r="J38" i="22" s="1"/>
  <c r="N622" i="8"/>
  <c r="N152" i="8"/>
  <c r="L566" i="8"/>
  <c r="L138" i="8"/>
  <c r="L769" i="8"/>
  <c r="L196" i="8" s="1"/>
  <c r="L760" i="8"/>
  <c r="L707" i="8"/>
  <c r="L713" i="8" s="1"/>
  <c r="L705" i="20"/>
  <c r="N94" i="20"/>
  <c r="N496" i="20"/>
  <c r="N566" i="8"/>
  <c r="N138" i="8"/>
  <c r="P117" i="3"/>
  <c r="N949" i="8"/>
  <c r="N952" i="8" s="1"/>
  <c r="N947" i="8"/>
  <c r="N250" i="8" s="1"/>
  <c r="H1180" i="8"/>
  <c r="Q1176" i="8"/>
  <c r="O1177" i="8"/>
  <c r="O326" i="8" s="1"/>
  <c r="O1180" i="8"/>
  <c r="O1181" i="8" s="1"/>
  <c r="E947" i="8"/>
  <c r="Q944" i="8"/>
  <c r="E949" i="8"/>
  <c r="G905" i="8"/>
  <c r="G902" i="8"/>
  <c r="G243" i="8" s="1"/>
  <c r="I906" i="8"/>
  <c r="Q900" i="8"/>
  <c r="G861" i="8"/>
  <c r="G857" i="8"/>
  <c r="G236" i="8" s="1"/>
  <c r="Q855" i="8"/>
  <c r="M757" i="20"/>
  <c r="M766" i="20"/>
  <c r="M192" i="20" s="1"/>
  <c r="H602" i="20"/>
  <c r="J549" i="8"/>
  <c r="J131" i="8"/>
  <c r="N530" i="20"/>
  <c r="N532" i="20" s="1"/>
  <c r="N102" i="20" s="1"/>
  <c r="N101" i="20"/>
  <c r="H406" i="20"/>
  <c r="H66" i="20"/>
  <c r="Q497" i="8"/>
  <c r="H498" i="8"/>
  <c r="H500" i="8" s="1"/>
  <c r="H95" i="8"/>
  <c r="L87" i="20"/>
  <c r="L479" i="20"/>
  <c r="L481" i="20" s="1"/>
  <c r="O466" i="20"/>
  <c r="O80" i="20"/>
  <c r="Q856" i="8"/>
  <c r="F949" i="8"/>
  <c r="F947" i="8"/>
  <c r="F250" i="8" s="1"/>
  <c r="M857" i="8"/>
  <c r="M236" i="8" s="1"/>
  <c r="M859" i="8"/>
  <c r="M863" i="8" s="1"/>
  <c r="F860" i="8"/>
  <c r="Q860" i="8" s="1"/>
  <c r="Q854" i="8"/>
  <c r="G138" i="8"/>
  <c r="Q565" i="8"/>
  <c r="G566" i="8"/>
  <c r="I532" i="8"/>
  <c r="I102" i="8"/>
  <c r="O828" i="8"/>
  <c r="O1308" i="8" s="1"/>
  <c r="O229" i="8"/>
  <c r="H197" i="20"/>
  <c r="F86" i="22" s="1"/>
  <c r="H789" i="20"/>
  <c r="P476" i="20"/>
  <c r="P481" i="20" s="1"/>
  <c r="P485" i="20" s="1"/>
  <c r="P90" i="20" s="1"/>
  <c r="I941" i="8"/>
  <c r="M100" i="20"/>
  <c r="G836" i="20"/>
  <c r="G1307" i="20" s="1"/>
  <c r="G1327" i="20" s="1"/>
  <c r="H839" i="8"/>
  <c r="H228" i="8"/>
  <c r="N1209" i="20"/>
  <c r="L311" i="8"/>
  <c r="K495" i="8"/>
  <c r="K500" i="8" s="1"/>
  <c r="K96" i="8" s="1"/>
  <c r="O824" i="20"/>
  <c r="O1305" i="20" s="1"/>
  <c r="I493" i="20"/>
  <c r="I478" i="8"/>
  <c r="I483" i="8" s="1"/>
  <c r="I487" i="8" s="1"/>
  <c r="I91" i="8" s="1"/>
  <c r="E313" i="2"/>
  <c r="C313" i="2"/>
  <c r="E65" i="20"/>
  <c r="F703" i="8"/>
  <c r="F1280" i="8" s="1"/>
  <c r="P701" i="8"/>
  <c r="P186" i="8" s="1"/>
  <c r="P699" i="20"/>
  <c r="P701" i="20" s="1"/>
  <c r="E651" i="8"/>
  <c r="E158" i="8" s="1"/>
  <c r="L1037" i="8"/>
  <c r="L1038" i="8"/>
  <c r="H699" i="20"/>
  <c r="H701" i="8"/>
  <c r="F251" i="20"/>
  <c r="F964" i="20"/>
  <c r="P65" i="5"/>
  <c r="O96" i="3"/>
  <c r="O23" i="23" s="1"/>
  <c r="O24" i="23" s="1"/>
  <c r="O327" i="3"/>
  <c r="O433" i="3"/>
  <c r="O434" i="3" s="1"/>
  <c r="L973" i="8"/>
  <c r="L974" i="8" s="1"/>
  <c r="L970" i="20"/>
  <c r="L252" i="20" s="1"/>
  <c r="M166" i="3"/>
  <c r="J973" i="8"/>
  <c r="J974" i="8" s="1"/>
  <c r="J970" i="20"/>
  <c r="J252" i="20" s="1"/>
  <c r="H305" i="3"/>
  <c r="H301" i="3"/>
  <c r="F323" i="3"/>
  <c r="P317" i="3"/>
  <c r="F321" i="3"/>
  <c r="K386" i="3"/>
  <c r="K391" i="3" s="1"/>
  <c r="K390" i="3"/>
  <c r="P1041" i="20"/>
  <c r="P1043" i="20" s="1"/>
  <c r="P287" i="20" s="1"/>
  <c r="P1044" i="8"/>
  <c r="K274" i="3"/>
  <c r="L123" i="3"/>
  <c r="L170" i="3" s="1"/>
  <c r="L125" i="3"/>
  <c r="L96" i="3"/>
  <c r="L23" i="23" s="1"/>
  <c r="L24" i="23" s="1"/>
  <c r="H327" i="3"/>
  <c r="H433" i="3"/>
  <c r="H434" i="3" s="1"/>
  <c r="J1040" i="20"/>
  <c r="J1043" i="20" s="1"/>
  <c r="J287" i="20" s="1"/>
  <c r="J1043" i="8"/>
  <c r="G326" i="3"/>
  <c r="P320" i="3"/>
  <c r="G321" i="3"/>
  <c r="G327" i="3" s="1"/>
  <c r="E306" i="3"/>
  <c r="E301" i="3"/>
  <c r="P300" i="3"/>
  <c r="N658" i="8"/>
  <c r="N655" i="20"/>
  <c r="N657" i="20" s="1"/>
  <c r="O1216" i="8"/>
  <c r="O1221" i="8" s="1"/>
  <c r="O1213" i="20"/>
  <c r="M96" i="3"/>
  <c r="M23" i="23" s="1"/>
  <c r="H1011" i="20"/>
  <c r="H1015" i="20" s="1"/>
  <c r="H259" i="20" s="1"/>
  <c r="N1210" i="20"/>
  <c r="J303" i="3"/>
  <c r="J301" i="3"/>
  <c r="I123" i="3"/>
  <c r="I170" i="3" s="1"/>
  <c r="I125" i="3"/>
  <c r="N123" i="3"/>
  <c r="N170" i="3" s="1"/>
  <c r="N126" i="3"/>
  <c r="F96" i="3"/>
  <c r="F23" i="23" s="1"/>
  <c r="F24" i="23" s="1"/>
  <c r="K67" i="5"/>
  <c r="P121" i="3"/>
  <c r="D127" i="3"/>
  <c r="F709" i="8"/>
  <c r="F715" i="8" s="1"/>
  <c r="F707" i="20"/>
  <c r="P385" i="3"/>
  <c r="E386" i="3"/>
  <c r="E391" i="3" s="1"/>
  <c r="E390" i="3"/>
  <c r="M67" i="5"/>
  <c r="J274" i="3"/>
  <c r="I96" i="3"/>
  <c r="I23" i="23" s="1"/>
  <c r="I24" i="23" s="1"/>
  <c r="E658" i="8"/>
  <c r="E664" i="8" s="1"/>
  <c r="P94" i="3"/>
  <c r="E655" i="20"/>
  <c r="I67" i="5"/>
  <c r="E273" i="3"/>
  <c r="E269" i="3"/>
  <c r="E274" i="3" s="1"/>
  <c r="D269" i="3"/>
  <c r="D274" i="3" s="1"/>
  <c r="D271" i="3"/>
  <c r="E971" i="8" s="1"/>
  <c r="G307" i="3"/>
  <c r="G428" i="3"/>
  <c r="K303" i="3"/>
  <c r="K301" i="3"/>
  <c r="D305" i="3"/>
  <c r="P299" i="3"/>
  <c r="N303" i="3"/>
  <c r="N301" i="3"/>
  <c r="N307" i="3" s="1"/>
  <c r="D123" i="3"/>
  <c r="D170" i="3" s="1"/>
  <c r="P120" i="3"/>
  <c r="D126" i="3"/>
  <c r="E657" i="8"/>
  <c r="E654" i="20"/>
  <c r="P93" i="3"/>
  <c r="P95" i="3"/>
  <c r="J659" i="8"/>
  <c r="J665" i="8" s="1"/>
  <c r="J656" i="20"/>
  <c r="J657" i="20" s="1"/>
  <c r="H96" i="3"/>
  <c r="H23" i="23" s="1"/>
  <c r="H24" i="23" s="1"/>
  <c r="D301" i="3"/>
  <c r="D304" i="3"/>
  <c r="P298" i="3"/>
  <c r="M1216" i="8"/>
  <c r="I386" i="3"/>
  <c r="I388" i="3"/>
  <c r="P656" i="8"/>
  <c r="P653" i="20"/>
  <c r="P657" i="20" s="1"/>
  <c r="O123" i="3"/>
  <c r="O170" i="3" s="1"/>
  <c r="O125" i="3"/>
  <c r="P1218" i="8"/>
  <c r="P1223" i="8" s="1"/>
  <c r="P1214" i="20"/>
  <c r="L271" i="3"/>
  <c r="L269" i="3"/>
  <c r="O388" i="3"/>
  <c r="O386" i="3"/>
  <c r="O391" i="3" s="1"/>
  <c r="N386" i="3"/>
  <c r="N391" i="3" s="1"/>
  <c r="G252" i="20"/>
  <c r="J323" i="3"/>
  <c r="J321" i="3"/>
  <c r="J327" i="3" s="1"/>
  <c r="M388" i="3"/>
  <c r="M386" i="3"/>
  <c r="H664" i="8"/>
  <c r="H666" i="8" s="1"/>
  <c r="H660" i="8"/>
  <c r="G269" i="3"/>
  <c r="G271" i="3"/>
  <c r="E973" i="8"/>
  <c r="E978" i="8" s="1"/>
  <c r="E970" i="20"/>
  <c r="H1213" i="20"/>
  <c r="H1216" i="8"/>
  <c r="N67" i="5"/>
  <c r="K96" i="3"/>
  <c r="K23" i="23" s="1"/>
  <c r="K24" i="23" s="1"/>
  <c r="O305" i="3"/>
  <c r="O301" i="3"/>
  <c r="K321" i="3"/>
  <c r="K327" i="3" s="1"/>
  <c r="K323" i="3"/>
  <c r="H123" i="3"/>
  <c r="H170" i="3" s="1"/>
  <c r="H125" i="3"/>
  <c r="D96" i="3"/>
  <c r="D23" i="23" s="1"/>
  <c r="D24" i="23" s="1"/>
  <c r="P90" i="3"/>
  <c r="P165" i="3" s="1"/>
  <c r="N325" i="3"/>
  <c r="N321" i="3"/>
  <c r="I1216" i="8"/>
  <c r="I1213" i="20"/>
  <c r="E125" i="3"/>
  <c r="E123" i="3"/>
  <c r="E170" i="3" s="1"/>
  <c r="P119" i="3"/>
  <c r="M323" i="3"/>
  <c r="M321" i="3"/>
  <c r="I656" i="8"/>
  <c r="P92" i="3"/>
  <c r="I653" i="20"/>
  <c r="P60" i="5"/>
  <c r="P383" i="3"/>
  <c r="F386" i="3"/>
  <c r="F388" i="3"/>
  <c r="P297" i="3"/>
  <c r="P47" i="5"/>
  <c r="L391" i="3"/>
  <c r="L428" i="3"/>
  <c r="H352" i="8"/>
  <c r="G1209" i="20"/>
  <c r="M784" i="8"/>
  <c r="M1287" i="8" s="1"/>
  <c r="M785" i="8"/>
  <c r="M1288" i="8" s="1"/>
  <c r="N964" i="20"/>
  <c r="H65" i="20"/>
  <c r="F941" i="8"/>
  <c r="L701" i="8"/>
  <c r="N824" i="20"/>
  <c r="N1305" i="20" s="1"/>
  <c r="N965" i="20"/>
  <c r="O134" i="2"/>
  <c r="G134" i="2"/>
  <c r="G1210" i="20"/>
  <c r="F1149" i="20"/>
  <c r="F1155" i="20" s="1"/>
  <c r="F316" i="20" s="1"/>
  <c r="O754" i="8"/>
  <c r="P1080" i="20"/>
  <c r="G782" i="20"/>
  <c r="G1286" i="20" s="1"/>
  <c r="H307" i="20"/>
  <c r="M1211" i="8"/>
  <c r="J427" i="8"/>
  <c r="I414" i="8"/>
  <c r="I1265" i="8" s="1"/>
  <c r="I1299" i="8" s="1"/>
  <c r="O193" i="8"/>
  <c r="H1211" i="8"/>
  <c r="N968" i="8"/>
  <c r="N1321" i="8" s="1"/>
  <c r="F1168" i="20"/>
  <c r="I619" i="8"/>
  <c r="N1036" i="20"/>
  <c r="F965" i="20"/>
  <c r="L263" i="8"/>
  <c r="G355" i="20"/>
  <c r="G965" i="20"/>
  <c r="I249" i="8"/>
  <c r="H1213" i="8"/>
  <c r="H461" i="8"/>
  <c r="E1172" i="8"/>
  <c r="G251" i="20"/>
  <c r="K651" i="8"/>
  <c r="K653" i="8" s="1"/>
  <c r="K1272" i="8" s="1"/>
  <c r="L1010" i="8"/>
  <c r="L1009" i="8"/>
  <c r="G146" i="2"/>
  <c r="H1233" i="20"/>
  <c r="E301" i="2"/>
  <c r="K939" i="8"/>
  <c r="M1119" i="8"/>
  <c r="J701" i="8"/>
  <c r="H355" i="20"/>
  <c r="P132" i="2"/>
  <c r="P144" i="2" s="1"/>
  <c r="K137" i="8"/>
  <c r="I785" i="8"/>
  <c r="I1288" i="8" s="1"/>
  <c r="H1155" i="20"/>
  <c r="H316" i="20" s="1"/>
  <c r="K754" i="8"/>
  <c r="M301" i="2"/>
  <c r="N967" i="8"/>
  <c r="K753" i="8"/>
  <c r="K1101" i="8"/>
  <c r="F1172" i="8"/>
  <c r="O1171" i="8"/>
  <c r="G964" i="20"/>
  <c r="N966" i="8"/>
  <c r="L594" i="20"/>
  <c r="G830" i="8"/>
  <c r="G834" i="8" s="1"/>
  <c r="N1035" i="20"/>
  <c r="G1080" i="20"/>
  <c r="O1080" i="20"/>
  <c r="L824" i="20"/>
  <c r="L1305" i="20" s="1"/>
  <c r="E1171" i="8"/>
  <c r="F702" i="8"/>
  <c r="F1279" i="8" s="1"/>
  <c r="F546" i="8"/>
  <c r="E1120" i="8"/>
  <c r="H151" i="8"/>
  <c r="I200" i="8"/>
  <c r="O1172" i="8"/>
  <c r="G753" i="8"/>
  <c r="N189" i="20"/>
  <c r="F699" i="20"/>
  <c r="F182" i="20" s="1"/>
  <c r="M616" i="20"/>
  <c r="F151" i="8"/>
  <c r="E529" i="8"/>
  <c r="E534" i="8" s="1"/>
  <c r="E538" i="8" s="1"/>
  <c r="E105" i="8" s="1"/>
  <c r="J301" i="2"/>
  <c r="L478" i="8"/>
  <c r="F940" i="8"/>
  <c r="F1167" i="20"/>
  <c r="J825" i="8"/>
  <c r="J1307" i="8" s="1"/>
  <c r="F1238" i="8"/>
  <c r="H94" i="8"/>
  <c r="G596" i="8"/>
  <c r="K459" i="20"/>
  <c r="M427" i="8"/>
  <c r="L401" i="8"/>
  <c r="F782" i="20"/>
  <c r="F1286" i="20" s="1"/>
  <c r="D284" i="2"/>
  <c r="L355" i="20"/>
  <c r="L782" i="20"/>
  <c r="L1286" i="20" s="1"/>
  <c r="G1309" i="8"/>
  <c r="G1329" i="8" s="1"/>
  <c r="L1233" i="20"/>
  <c r="L66" i="8"/>
  <c r="G301" i="2"/>
  <c r="I1210" i="20"/>
  <c r="E893" i="20"/>
  <c r="K837" i="8"/>
  <c r="K839" i="8" s="1"/>
  <c r="M594" i="20"/>
  <c r="H594" i="20"/>
  <c r="O459" i="20"/>
  <c r="O464" i="20" s="1"/>
  <c r="O81" i="20" s="1"/>
  <c r="E1168" i="20"/>
  <c r="K940" i="8"/>
  <c r="M307" i="20"/>
  <c r="L284" i="2"/>
  <c r="N321" i="20"/>
  <c r="I402" i="8"/>
  <c r="I66" i="8"/>
  <c r="K941" i="8"/>
  <c r="H784" i="8"/>
  <c r="H1287" i="8" s="1"/>
  <c r="N424" i="20"/>
  <c r="N429" i="20" s="1"/>
  <c r="N74" i="20" s="1"/>
  <c r="H785" i="8"/>
  <c r="H1288" i="8" s="1"/>
  <c r="G193" i="8"/>
  <c r="G223" i="20"/>
  <c r="J754" i="8"/>
  <c r="F359" i="8"/>
  <c r="P251" i="20"/>
  <c r="K650" i="20"/>
  <c r="K1270" i="20" s="1"/>
  <c r="F93" i="20"/>
  <c r="I348" i="20"/>
  <c r="O836" i="20"/>
  <c r="M79" i="20"/>
  <c r="P1009" i="8"/>
  <c r="E293" i="20"/>
  <c r="L1036" i="20"/>
  <c r="P263" i="8"/>
  <c r="P964" i="20"/>
  <c r="N493" i="20"/>
  <c r="H476" i="20"/>
  <c r="J753" i="8"/>
  <c r="F1171" i="8"/>
  <c r="P594" i="20"/>
  <c r="J1097" i="20"/>
  <c r="J1103" i="20" s="1"/>
  <c r="J1107" i="20" s="1"/>
  <c r="J304" i="20" s="1"/>
  <c r="P1011" i="8"/>
  <c r="E399" i="20"/>
  <c r="E1260" i="20" s="1"/>
  <c r="E782" i="20"/>
  <c r="E1286" i="20" s="1"/>
  <c r="I1116" i="20"/>
  <c r="H1115" i="20"/>
  <c r="E1008" i="20"/>
  <c r="K964" i="20"/>
  <c r="L193" i="8"/>
  <c r="F476" i="20"/>
  <c r="M476" i="20"/>
  <c r="M481" i="20" s="1"/>
  <c r="M88" i="20" s="1"/>
  <c r="N311" i="8"/>
  <c r="J1167" i="20"/>
  <c r="K1116" i="20"/>
  <c r="K355" i="20"/>
  <c r="J65" i="20"/>
  <c r="L1107" i="8"/>
  <c r="L1111" i="8" s="1"/>
  <c r="L308" i="8" s="1"/>
  <c r="O411" i="20"/>
  <c r="O1263" i="20" s="1"/>
  <c r="O1297" i="20" s="1"/>
  <c r="O143" i="2"/>
  <c r="O146" i="2" s="1"/>
  <c r="M544" i="20"/>
  <c r="H1098" i="20"/>
  <c r="O301" i="2"/>
  <c r="M1089" i="8"/>
  <c r="M299" i="8" s="1"/>
  <c r="I964" i="20"/>
  <c r="F1233" i="20"/>
  <c r="H1097" i="20"/>
  <c r="E461" i="8"/>
  <c r="O785" i="8"/>
  <c r="O1288" i="8" s="1"/>
  <c r="L836" i="20"/>
  <c r="L1307" i="20" s="1"/>
  <c r="L1327" i="20" s="1"/>
  <c r="Q780" i="20"/>
  <c r="G493" i="20"/>
  <c r="G498" i="20" s="1"/>
  <c r="G95" i="20" s="1"/>
  <c r="F301" i="2"/>
  <c r="E1036" i="8"/>
  <c r="E1037" i="8" s="1"/>
  <c r="G1084" i="8"/>
  <c r="N1119" i="8"/>
  <c r="N1125" i="8" s="1"/>
  <c r="N1129" i="8" s="1"/>
  <c r="N315" i="8" s="1"/>
  <c r="P188" i="2"/>
  <c r="F307" i="20"/>
  <c r="J399" i="20"/>
  <c r="J1260" i="20" s="1"/>
  <c r="P134" i="20"/>
  <c r="L754" i="8"/>
  <c r="L80" i="8"/>
  <c r="L461" i="8"/>
  <c r="H399" i="20"/>
  <c r="H1260" i="20" s="1"/>
  <c r="L1097" i="20"/>
  <c r="O784" i="8"/>
  <c r="O1287" i="8" s="1"/>
  <c r="I461" i="8"/>
  <c r="I893" i="20"/>
  <c r="M1080" i="20"/>
  <c r="E1167" i="20"/>
  <c r="O967" i="8"/>
  <c r="G1036" i="20"/>
  <c r="J284" i="2"/>
  <c r="P1115" i="20"/>
  <c r="P1121" i="20" s="1"/>
  <c r="P309" i="20" s="1"/>
  <c r="N1098" i="20"/>
  <c r="K237" i="20"/>
  <c r="F939" i="8"/>
  <c r="H751" i="20"/>
  <c r="H189" i="20"/>
  <c r="L824" i="8"/>
  <c r="L1306" i="8" s="1"/>
  <c r="L228" i="8"/>
  <c r="F1120" i="8"/>
  <c r="F311" i="8"/>
  <c r="F1119" i="8"/>
  <c r="L101" i="8"/>
  <c r="L529" i="8"/>
  <c r="L534" i="8" s="1"/>
  <c r="G937" i="20"/>
  <c r="I937" i="20"/>
  <c r="L837" i="8"/>
  <c r="L1309" i="8" s="1"/>
  <c r="L1329" i="8" s="1"/>
  <c r="K476" i="20"/>
  <c r="K481" i="20" s="1"/>
  <c r="G1171" i="8"/>
  <c r="J594" i="20"/>
  <c r="J1039" i="8"/>
  <c r="P544" i="20"/>
  <c r="K1234" i="20"/>
  <c r="E1210" i="20"/>
  <c r="Q752" i="8"/>
  <c r="J325" i="8"/>
  <c r="J1171" i="8"/>
  <c r="J1172" i="8"/>
  <c r="G940" i="8"/>
  <c r="G249" i="8"/>
  <c r="G939" i="8"/>
  <c r="N938" i="20"/>
  <c r="N244" i="20"/>
  <c r="I940" i="8"/>
  <c r="G244" i="20"/>
  <c r="K784" i="8"/>
  <c r="K1287" i="8" s="1"/>
  <c r="H498" i="20"/>
  <c r="H502" i="20" s="1"/>
  <c r="H97" i="20" s="1"/>
  <c r="O594" i="20"/>
  <c r="I594" i="20"/>
  <c r="F424" i="20"/>
  <c r="L1039" i="8"/>
  <c r="L1213" i="8"/>
  <c r="L1035" i="20"/>
  <c r="O848" i="8"/>
  <c r="O849" i="8" s="1"/>
  <c r="K478" i="8"/>
  <c r="E1007" i="20"/>
  <c r="J651" i="8"/>
  <c r="J653" i="8" s="1"/>
  <c r="J1272" i="8" s="1"/>
  <c r="L1212" i="8"/>
  <c r="O293" i="2"/>
  <c r="M1154" i="8"/>
  <c r="G461" i="8"/>
  <c r="E284" i="2"/>
  <c r="L527" i="20"/>
  <c r="L532" i="20" s="1"/>
  <c r="L536" i="20" s="1"/>
  <c r="L104" i="20" s="1"/>
  <c r="M1212" i="8"/>
  <c r="J1168" i="20"/>
  <c r="G1172" i="8"/>
  <c r="L290" i="8"/>
  <c r="O352" i="8"/>
  <c r="O1211" i="8"/>
  <c r="O1212" i="8"/>
  <c r="I825" i="8"/>
  <c r="I1307" i="8" s="1"/>
  <c r="I824" i="8"/>
  <c r="I228" i="8"/>
  <c r="O648" i="20"/>
  <c r="O651" i="8"/>
  <c r="K228" i="8"/>
  <c r="K824" i="8"/>
  <c r="K1306" i="8" s="1"/>
  <c r="N307" i="20"/>
  <c r="N1116" i="20"/>
  <c r="N1115" i="20"/>
  <c r="N937" i="20"/>
  <c r="N648" i="20"/>
  <c r="I100" i="20"/>
  <c r="N158" i="8"/>
  <c r="M1213" i="8"/>
  <c r="N1167" i="20"/>
  <c r="E753" i="8"/>
  <c r="O424" i="20"/>
  <c r="O429" i="20" s="1"/>
  <c r="O433" i="20" s="1"/>
  <c r="O76" i="20" s="1"/>
  <c r="L424" i="20"/>
  <c r="P459" i="20"/>
  <c r="I301" i="2"/>
  <c r="I128" i="2"/>
  <c r="O968" i="8"/>
  <c r="M847" i="20"/>
  <c r="J86" i="20"/>
  <c r="P189" i="20"/>
  <c r="K1115" i="20"/>
  <c r="O699" i="20"/>
  <c r="O701" i="20" s="1"/>
  <c r="O1278" i="20" s="1"/>
  <c r="L1211" i="8"/>
  <c r="M1153" i="8"/>
  <c r="J290" i="8"/>
  <c r="L146" i="2"/>
  <c r="M1120" i="8"/>
  <c r="H301" i="2"/>
  <c r="I459" i="20"/>
  <c r="J144" i="8"/>
  <c r="J596" i="8"/>
  <c r="H895" i="8"/>
  <c r="H894" i="8"/>
  <c r="H242" i="8"/>
  <c r="J616" i="20"/>
  <c r="J148" i="20"/>
  <c r="M1172" i="8"/>
  <c r="M325" i="8"/>
  <c r="N1172" i="8"/>
  <c r="N325" i="8"/>
  <c r="K223" i="20"/>
  <c r="K824" i="20"/>
  <c r="K1305" i="20" s="1"/>
  <c r="L258" i="20"/>
  <c r="L1008" i="20"/>
  <c r="L1007" i="20"/>
  <c r="P478" i="8"/>
  <c r="P87" i="8"/>
  <c r="J1212" i="8"/>
  <c r="J1211" i="8"/>
  <c r="J352" i="8"/>
  <c r="J751" i="20"/>
  <c r="J189" i="20"/>
  <c r="E1155" i="20"/>
  <c r="E1159" i="20" s="1"/>
  <c r="E318" i="20" s="1"/>
  <c r="O80" i="8"/>
  <c r="K1010" i="8"/>
  <c r="Q460" i="8"/>
  <c r="O66" i="8"/>
  <c r="L938" i="8"/>
  <c r="L941" i="8" s="1"/>
  <c r="L651" i="8"/>
  <c r="L653" i="8" s="1"/>
  <c r="L1272" i="8" s="1"/>
  <c r="I1115" i="20"/>
  <c r="J300" i="20"/>
  <c r="I193" i="8"/>
  <c r="K1011" i="8"/>
  <c r="G616" i="20"/>
  <c r="G148" i="20"/>
  <c r="F848" i="8"/>
  <c r="F847" i="20"/>
  <c r="K352" i="8"/>
  <c r="K1211" i="8"/>
  <c r="K1212" i="8"/>
  <c r="H651" i="8"/>
  <c r="H648" i="20"/>
  <c r="I352" i="8"/>
  <c r="I1212" i="8"/>
  <c r="I1211" i="8"/>
  <c r="L314" i="20"/>
  <c r="L1150" i="20"/>
  <c r="O304" i="8"/>
  <c r="O1101" i="8"/>
  <c r="O1102" i="8"/>
  <c r="L616" i="20"/>
  <c r="L148" i="20"/>
  <c r="H411" i="20"/>
  <c r="H1263" i="20" s="1"/>
  <c r="N652" i="8"/>
  <c r="L1149" i="20"/>
  <c r="G1035" i="20"/>
  <c r="Q618" i="8"/>
  <c r="K263" i="8"/>
  <c r="J650" i="20"/>
  <c r="J1270" i="20" s="1"/>
  <c r="N284" i="2"/>
  <c r="O256" i="8"/>
  <c r="G1083" i="8"/>
  <c r="K155" i="20"/>
  <c r="P307" i="20"/>
  <c r="P461" i="8"/>
  <c r="I754" i="8"/>
  <c r="G151" i="8"/>
  <c r="G619" i="8"/>
  <c r="G624" i="8" s="1"/>
  <c r="G651" i="8"/>
  <c r="G648" i="20"/>
  <c r="G699" i="20"/>
  <c r="G701" i="8"/>
  <c r="G186" i="8" s="1"/>
  <c r="N847" i="20"/>
  <c r="N848" i="8"/>
  <c r="I311" i="8"/>
  <c r="I1120" i="8"/>
  <c r="I1119" i="8"/>
  <c r="E1083" i="8"/>
  <c r="E297" i="8"/>
  <c r="E1084" i="8"/>
  <c r="I894" i="8"/>
  <c r="I242" i="8"/>
  <c r="E348" i="20"/>
  <c r="E1209" i="20"/>
  <c r="G128" i="2"/>
  <c r="P193" i="8"/>
  <c r="P754" i="8"/>
  <c r="L1153" i="8"/>
  <c r="L318" i="8"/>
  <c r="L1154" i="8"/>
  <c r="O1098" i="20"/>
  <c r="O300" i="20"/>
  <c r="H304" i="8"/>
  <c r="H1101" i="8"/>
  <c r="H1102" i="8"/>
  <c r="L151" i="8"/>
  <c r="L619" i="8"/>
  <c r="L624" i="8" s="1"/>
  <c r="J127" i="20"/>
  <c r="J544" i="20"/>
  <c r="J230" i="20"/>
  <c r="J849" i="20"/>
  <c r="M242" i="8"/>
  <c r="M894" i="8"/>
  <c r="I1083" i="8"/>
  <c r="I297" i="8"/>
  <c r="I1084" i="8"/>
  <c r="H1083" i="8"/>
  <c r="H297" i="8"/>
  <c r="H1084" i="8"/>
  <c r="P228" i="8"/>
  <c r="P824" i="8"/>
  <c r="P825" i="8"/>
  <c r="P1307" i="8" s="1"/>
  <c r="K311" i="8"/>
  <c r="K1120" i="8"/>
  <c r="K1119" i="8"/>
  <c r="F73" i="8"/>
  <c r="F427" i="8"/>
  <c r="F966" i="8"/>
  <c r="F967" i="8"/>
  <c r="N476" i="20"/>
  <c r="L1098" i="20"/>
  <c r="F256" i="8"/>
  <c r="K424" i="20"/>
  <c r="G459" i="20"/>
  <c r="P751" i="20"/>
  <c r="F1234" i="20"/>
  <c r="K965" i="8"/>
  <c r="K967" i="8" s="1"/>
  <c r="O402" i="8"/>
  <c r="O1262" i="8" s="1"/>
  <c r="O414" i="8"/>
  <c r="O1265" i="8" s="1"/>
  <c r="O1299" i="8" s="1"/>
  <c r="Q749" i="20"/>
  <c r="M1116" i="20"/>
  <c r="K251" i="20"/>
  <c r="H1125" i="8"/>
  <c r="N301" i="2"/>
  <c r="F137" i="8"/>
  <c r="F563" i="8"/>
  <c r="I189" i="20"/>
  <c r="I751" i="20"/>
  <c r="J130" i="8"/>
  <c r="J546" i="8"/>
  <c r="O65" i="20"/>
  <c r="O399" i="20"/>
  <c r="O1260" i="20" s="1"/>
  <c r="K1008" i="20"/>
  <c r="K1007" i="20"/>
  <c r="K258" i="20"/>
  <c r="J850" i="8"/>
  <c r="J849" i="8"/>
  <c r="J235" i="8"/>
  <c r="K1210" i="20"/>
  <c r="K1209" i="20"/>
  <c r="K348" i="20"/>
  <c r="M237" i="20"/>
  <c r="M893" i="20"/>
  <c r="L73" i="8"/>
  <c r="L427" i="8"/>
  <c r="I965" i="20"/>
  <c r="I251" i="20"/>
  <c r="K143" i="2"/>
  <c r="P824" i="20"/>
  <c r="P1305" i="20" s="1"/>
  <c r="P223" i="20"/>
  <c r="J134" i="2"/>
  <c r="J146" i="2"/>
  <c r="H1008" i="20"/>
  <c r="H1007" i="20"/>
  <c r="H258" i="20"/>
  <c r="P94" i="8"/>
  <c r="P495" i="8"/>
  <c r="I529" i="8"/>
  <c r="I101" i="8"/>
  <c r="O73" i="8"/>
  <c r="O427" i="8"/>
  <c r="L937" i="20"/>
  <c r="F1036" i="20"/>
  <c r="F286" i="20"/>
  <c r="F1035" i="20"/>
  <c r="F1005" i="20"/>
  <c r="F1008" i="8"/>
  <c r="N699" i="20"/>
  <c r="N701" i="8"/>
  <c r="N186" i="8" s="1"/>
  <c r="P1038" i="8"/>
  <c r="P1037" i="8"/>
  <c r="P290" i="8"/>
  <c r="P1039" i="8"/>
  <c r="P1321" i="8" s="1"/>
  <c r="N1307" i="8"/>
  <c r="N830" i="8"/>
  <c r="N834" i="8" s="1"/>
  <c r="N134" i="20"/>
  <c r="N561" i="20"/>
  <c r="N566" i="20" s="1"/>
  <c r="N136" i="20" s="1"/>
  <c r="E127" i="20"/>
  <c r="E544" i="20"/>
  <c r="E549" i="20" s="1"/>
  <c r="H100" i="20"/>
  <c r="H527" i="20"/>
  <c r="H532" i="20" s="1"/>
  <c r="N459" i="20"/>
  <c r="N79" i="20"/>
  <c r="G72" i="20"/>
  <c r="G424" i="20"/>
  <c r="N1238" i="8"/>
  <c r="N359" i="8"/>
  <c r="N1237" i="8"/>
  <c r="I321" i="20"/>
  <c r="I1168" i="20"/>
  <c r="Q1166" i="20"/>
  <c r="I1167" i="20"/>
  <c r="I314" i="20"/>
  <c r="I1150" i="20"/>
  <c r="I1149" i="20"/>
  <c r="O938" i="20"/>
  <c r="O244" i="20"/>
  <c r="O937" i="20"/>
  <c r="M968" i="8"/>
  <c r="M966" i="8"/>
  <c r="M967" i="8"/>
  <c r="M256" i="8"/>
  <c r="K293" i="2"/>
  <c r="K284" i="2"/>
  <c r="D299" i="2"/>
  <c r="P1153" i="8"/>
  <c r="P318" i="8"/>
  <c r="P1154" i="8"/>
  <c r="J1115" i="20"/>
  <c r="J1116" i="20"/>
  <c r="J307" i="20"/>
  <c r="E290" i="2"/>
  <c r="N237" i="20"/>
  <c r="N893" i="20"/>
  <c r="F648" i="20"/>
  <c r="F651" i="8"/>
  <c r="G352" i="8"/>
  <c r="G1212" i="8"/>
  <c r="G1213" i="8"/>
  <c r="H1036" i="20"/>
  <c r="H286" i="20"/>
  <c r="H1035" i="20"/>
  <c r="O1234" i="20"/>
  <c r="O355" i="20"/>
  <c r="M1033" i="20"/>
  <c r="M1036" i="8"/>
  <c r="H284" i="2"/>
  <c r="I699" i="20"/>
  <c r="I701" i="8"/>
  <c r="I186" i="8" s="1"/>
  <c r="N619" i="8"/>
  <c r="N151" i="8"/>
  <c r="N144" i="8"/>
  <c r="N596" i="8"/>
  <c r="E134" i="20"/>
  <c r="E561" i="20"/>
  <c r="E566" i="20" s="1"/>
  <c r="H130" i="8"/>
  <c r="H546" i="8"/>
  <c r="H551" i="8" s="1"/>
  <c r="K527" i="20"/>
  <c r="K100" i="20"/>
  <c r="M80" i="8"/>
  <c r="M461" i="8"/>
  <c r="F79" i="20"/>
  <c r="F459" i="20"/>
  <c r="H73" i="8"/>
  <c r="H427" i="8"/>
  <c r="L293" i="2"/>
  <c r="K290" i="2"/>
  <c r="O318" i="8"/>
  <c r="O1154" i="8"/>
  <c r="O1153" i="8"/>
  <c r="G304" i="8"/>
  <c r="G1102" i="8"/>
  <c r="G1101" i="8"/>
  <c r="J237" i="20"/>
  <c r="J893" i="20"/>
  <c r="M493" i="20"/>
  <c r="M93" i="20"/>
  <c r="H1010" i="8"/>
  <c r="H263" i="8"/>
  <c r="H1011" i="8"/>
  <c r="H1009" i="8"/>
  <c r="P493" i="20"/>
  <c r="P93" i="20"/>
  <c r="J137" i="8"/>
  <c r="J563" i="8"/>
  <c r="I546" i="8"/>
  <c r="I130" i="8"/>
  <c r="L93" i="20"/>
  <c r="L493" i="20"/>
  <c r="M1150" i="20"/>
  <c r="M1155" i="20" s="1"/>
  <c r="M314" i="20"/>
  <c r="I1005" i="20"/>
  <c r="I1008" i="8"/>
  <c r="E137" i="8"/>
  <c r="E563" i="8"/>
  <c r="K529" i="8"/>
  <c r="K534" i="8" s="1"/>
  <c r="K101" i="8"/>
  <c r="J87" i="8"/>
  <c r="J478" i="8"/>
  <c r="E848" i="8"/>
  <c r="E847" i="20"/>
  <c r="K293" i="20"/>
  <c r="H937" i="20"/>
  <c r="L701" i="20"/>
  <c r="L1278" i="20" s="1"/>
  <c r="L1172" i="8"/>
  <c r="F790" i="8"/>
  <c r="K594" i="20"/>
  <c r="N594" i="20"/>
  <c r="K1035" i="20"/>
  <c r="O148" i="20"/>
  <c r="J1037" i="8"/>
  <c r="O1150" i="20"/>
  <c r="O1155" i="20" s="1"/>
  <c r="O314" i="20"/>
  <c r="G1098" i="20"/>
  <c r="G300" i="20"/>
  <c r="J894" i="8"/>
  <c r="J242" i="8"/>
  <c r="F824" i="8"/>
  <c r="F228" i="8"/>
  <c r="F825" i="8"/>
  <c r="F1307" i="8" s="1"/>
  <c r="O561" i="20"/>
  <c r="O134" i="20"/>
  <c r="N1150" i="20"/>
  <c r="N1155" i="20" s="1"/>
  <c r="N1159" i="20" s="1"/>
  <c r="N318" i="20" s="1"/>
  <c r="N314" i="20"/>
  <c r="L1084" i="8"/>
  <c r="L1083" i="8"/>
  <c r="L297" i="8"/>
  <c r="E193" i="8"/>
  <c r="E754" i="8"/>
  <c r="P414" i="8"/>
  <c r="P1265" i="8" s="1"/>
  <c r="P1299" i="8" s="1"/>
  <c r="P401" i="8"/>
  <c r="P402" i="8"/>
  <c r="P1262" i="8" s="1"/>
  <c r="P66" i="8"/>
  <c r="J286" i="20"/>
  <c r="J1036" i="20"/>
  <c r="J182" i="20"/>
  <c r="J701" i="20"/>
  <c r="L1168" i="20"/>
  <c r="L321" i="20"/>
  <c r="O151" i="8"/>
  <c r="O619" i="8"/>
  <c r="J134" i="20"/>
  <c r="J561" i="20"/>
  <c r="J566" i="20" s="1"/>
  <c r="I127" i="20"/>
  <c r="I544" i="20"/>
  <c r="I549" i="20" s="1"/>
  <c r="L94" i="8"/>
  <c r="L495" i="8"/>
  <c r="I848" i="8"/>
  <c r="I847" i="20"/>
  <c r="J359" i="8"/>
  <c r="J1238" i="8"/>
  <c r="E300" i="20"/>
  <c r="E1098" i="20"/>
  <c r="K151" i="8"/>
  <c r="K619" i="8"/>
  <c r="K624" i="8" s="1"/>
  <c r="F594" i="20"/>
  <c r="F141" i="20"/>
  <c r="I137" i="8"/>
  <c r="I563" i="8"/>
  <c r="I568" i="8" s="1"/>
  <c r="L546" i="8"/>
  <c r="L551" i="8" s="1"/>
  <c r="L130" i="8"/>
  <c r="O529" i="8"/>
  <c r="O534" i="8" s="1"/>
  <c r="O103" i="8" s="1"/>
  <c r="O101" i="8"/>
  <c r="O495" i="8"/>
  <c r="O500" i="8" s="1"/>
  <c r="O94" i="8"/>
  <c r="G94" i="8"/>
  <c r="Q494" i="8"/>
  <c r="G495" i="8"/>
  <c r="K427" i="8"/>
  <c r="K73" i="8"/>
  <c r="F1089" i="8"/>
  <c r="K297" i="8"/>
  <c r="K1084" i="8"/>
  <c r="K1083" i="8"/>
  <c r="E938" i="8"/>
  <c r="E935" i="20"/>
  <c r="K847" i="20"/>
  <c r="K848" i="8"/>
  <c r="F189" i="20"/>
  <c r="J1234" i="20"/>
  <c r="J355" i="20"/>
  <c r="E304" i="8"/>
  <c r="E1102" i="8"/>
  <c r="E1101" i="8"/>
  <c r="N148" i="20"/>
  <c r="N616" i="20"/>
  <c r="M563" i="8"/>
  <c r="M137" i="8"/>
  <c r="H127" i="20"/>
  <c r="H544" i="20"/>
  <c r="F80" i="8"/>
  <c r="F461" i="8"/>
  <c r="P847" i="20"/>
  <c r="P848" i="8"/>
  <c r="L325" i="8"/>
  <c r="M566" i="20"/>
  <c r="M570" i="20" s="1"/>
  <c r="M138" i="20" s="1"/>
  <c r="H424" i="20"/>
  <c r="O128" i="2"/>
  <c r="F751" i="20"/>
  <c r="J299" i="2"/>
  <c r="L301" i="2"/>
  <c r="L290" i="2"/>
  <c r="H146" i="2"/>
  <c r="Q615" i="20"/>
  <c r="O1238" i="8"/>
  <c r="O1237" i="8"/>
  <c r="O359" i="8"/>
  <c r="P1150" i="20"/>
  <c r="P1155" i="20" s="1"/>
  <c r="P314" i="20"/>
  <c r="J311" i="8"/>
  <c r="J1120" i="8"/>
  <c r="J1119" i="8"/>
  <c r="N894" i="8"/>
  <c r="N242" i="8"/>
  <c r="M193" i="8"/>
  <c r="M754" i="8"/>
  <c r="E619" i="8"/>
  <c r="E151" i="8"/>
  <c r="N318" i="8"/>
  <c r="N1154" i="8"/>
  <c r="N1153" i="8"/>
  <c r="L293" i="20"/>
  <c r="E189" i="20"/>
  <c r="E751" i="20"/>
  <c r="H87" i="8"/>
  <c r="H478" i="8"/>
  <c r="P399" i="20"/>
  <c r="P1260" i="20" s="1"/>
  <c r="P65" i="20"/>
  <c r="P411" i="20"/>
  <c r="P1263" i="20" s="1"/>
  <c r="P1297" i="20" s="1"/>
  <c r="F1037" i="8"/>
  <c r="F1038" i="8"/>
  <c r="F1039" i="8"/>
  <c r="F290" i="8"/>
  <c r="P1036" i="20"/>
  <c r="P286" i="20"/>
  <c r="N137" i="8"/>
  <c r="N563" i="8"/>
  <c r="E130" i="8"/>
  <c r="E546" i="8"/>
  <c r="E551" i="8" s="1"/>
  <c r="H101" i="8"/>
  <c r="H529" i="8"/>
  <c r="H534" i="8" s="1"/>
  <c r="N80" i="8"/>
  <c r="N461" i="8"/>
  <c r="N466" i="8" s="1"/>
  <c r="G73" i="8"/>
  <c r="G427" i="8"/>
  <c r="L155" i="20"/>
  <c r="L650" i="20"/>
  <c r="L1270" i="20" s="1"/>
  <c r="E701" i="8"/>
  <c r="E186" i="8" s="1"/>
  <c r="E699" i="20"/>
  <c r="N355" i="20"/>
  <c r="N1234" i="20"/>
  <c r="I1171" i="8"/>
  <c r="I1172" i="8"/>
  <c r="I325" i="8"/>
  <c r="I318" i="8"/>
  <c r="I1153" i="8"/>
  <c r="I1154" i="8"/>
  <c r="O939" i="8"/>
  <c r="O940" i="8"/>
  <c r="O249" i="8"/>
  <c r="O941" i="8"/>
  <c r="M965" i="20"/>
  <c r="M251" i="20"/>
  <c r="D290" i="2"/>
  <c r="M1008" i="8"/>
  <c r="M1005" i="20"/>
  <c r="M699" i="20"/>
  <c r="M701" i="8"/>
  <c r="M186" i="8" s="1"/>
  <c r="K148" i="20"/>
  <c r="K616" i="20"/>
  <c r="F144" i="8"/>
  <c r="F596" i="8"/>
  <c r="I561" i="20"/>
  <c r="I134" i="20"/>
  <c r="L127" i="20"/>
  <c r="L544" i="20"/>
  <c r="L549" i="20" s="1"/>
  <c r="O527" i="20"/>
  <c r="O100" i="20"/>
  <c r="O493" i="20"/>
  <c r="O93" i="20"/>
  <c r="Q492" i="20"/>
  <c r="M87" i="8"/>
  <c r="M478" i="8"/>
  <c r="M483" i="8" s="1"/>
  <c r="F478" i="8"/>
  <c r="F483" i="8" s="1"/>
  <c r="F87" i="8"/>
  <c r="L962" i="20"/>
  <c r="Q962" i="20" s="1"/>
  <c r="L965" i="8"/>
  <c r="E263" i="8"/>
  <c r="E1009" i="8"/>
  <c r="E1010" i="8"/>
  <c r="E1011" i="8"/>
  <c r="P281" i="2"/>
  <c r="F284" i="2"/>
  <c r="F293" i="2"/>
  <c r="Q893" i="8"/>
  <c r="F242" i="8"/>
  <c r="F894" i="8"/>
  <c r="F895" i="8"/>
  <c r="O144" i="8"/>
  <c r="O596" i="8"/>
  <c r="O1116" i="20"/>
  <c r="O307" i="20"/>
  <c r="O1115" i="20"/>
  <c r="J293" i="20"/>
  <c r="Q1078" i="20"/>
  <c r="I355" i="20"/>
  <c r="I1234" i="20"/>
  <c r="I1233" i="20"/>
  <c r="G314" i="20"/>
  <c r="G1150" i="20"/>
  <c r="G1149" i="20"/>
  <c r="Q1148" i="20"/>
  <c r="J824" i="20"/>
  <c r="J223" i="20"/>
  <c r="J836" i="20"/>
  <c r="Q822" i="20"/>
  <c r="G134" i="20"/>
  <c r="G561" i="20"/>
  <c r="Q560" i="20"/>
  <c r="N1008" i="20"/>
  <c r="N1007" i="20"/>
  <c r="N258" i="20"/>
  <c r="M399" i="20"/>
  <c r="M1260" i="20" s="1"/>
  <c r="M411" i="20"/>
  <c r="M1263" i="20" s="1"/>
  <c r="M1297" i="20" s="1"/>
  <c r="M65" i="20"/>
  <c r="N478" i="8"/>
  <c r="N483" i="8" s="1"/>
  <c r="N87" i="8"/>
  <c r="Q477" i="8"/>
  <c r="K65" i="20"/>
  <c r="K411" i="20"/>
  <c r="K1263" i="20" s="1"/>
  <c r="K1297" i="20" s="1"/>
  <c r="K399" i="20"/>
  <c r="K1260" i="20" s="1"/>
  <c r="Q397" i="20"/>
  <c r="P1102" i="8"/>
  <c r="P304" i="8"/>
  <c r="P1101" i="8"/>
  <c r="P596" i="8"/>
  <c r="P144" i="8"/>
  <c r="K1153" i="8"/>
  <c r="K1154" i="8"/>
  <c r="K318" i="8"/>
  <c r="G1115" i="20"/>
  <c r="G1116" i="20"/>
  <c r="G307" i="20"/>
  <c r="Q1114" i="20"/>
  <c r="M300" i="20"/>
  <c r="M1098" i="20"/>
  <c r="K325" i="8"/>
  <c r="K1171" i="8"/>
  <c r="K1172" i="8"/>
  <c r="Q1170" i="8"/>
  <c r="G529" i="8"/>
  <c r="G101" i="8"/>
  <c r="E838" i="20"/>
  <c r="P122" i="2"/>
  <c r="J1080" i="20"/>
  <c r="N66" i="8"/>
  <c r="N401" i="8"/>
  <c r="N414" i="8"/>
  <c r="N402" i="8"/>
  <c r="N1262" i="8" s="1"/>
  <c r="P893" i="20"/>
  <c r="P237" i="20"/>
  <c r="H563" i="8"/>
  <c r="H137" i="8"/>
  <c r="P1168" i="20"/>
  <c r="P321" i="20"/>
  <c r="F237" i="20"/>
  <c r="F893" i="20"/>
  <c r="Q891" i="20"/>
  <c r="P140" i="2"/>
  <c r="F101" i="8"/>
  <c r="F529" i="8"/>
  <c r="G476" i="20"/>
  <c r="G86" i="20"/>
  <c r="Q475" i="20"/>
  <c r="O311" i="8"/>
  <c r="O1119" i="8"/>
  <c r="O1120" i="8"/>
  <c r="I1102" i="8"/>
  <c r="I304" i="8"/>
  <c r="I1101" i="8"/>
  <c r="J251" i="20"/>
  <c r="J965" i="20"/>
  <c r="O1008" i="20"/>
  <c r="O1007" i="20"/>
  <c r="O258" i="20"/>
  <c r="L847" i="20"/>
  <c r="L848" i="8"/>
  <c r="P1237" i="8"/>
  <c r="P359" i="8"/>
  <c r="P1238" i="8"/>
  <c r="N299" i="2"/>
  <c r="M648" i="20"/>
  <c r="M651" i="8"/>
  <c r="H134" i="20"/>
  <c r="H561" i="20"/>
  <c r="P1171" i="8"/>
  <c r="P325" i="8"/>
  <c r="P616" i="20"/>
  <c r="P621" i="20" s="1"/>
  <c r="P148" i="20"/>
  <c r="F1101" i="8"/>
  <c r="F1102" i="8"/>
  <c r="Q1100" i="8"/>
  <c r="F304" i="8"/>
  <c r="M850" i="8"/>
  <c r="M849" i="8"/>
  <c r="M235" i="8"/>
  <c r="K144" i="8"/>
  <c r="K596" i="8"/>
  <c r="E1234" i="20"/>
  <c r="E355" i="20"/>
  <c r="Q1232" i="20"/>
  <c r="M223" i="20"/>
  <c r="M824" i="20"/>
  <c r="M1305" i="20" s="1"/>
  <c r="J200" i="8"/>
  <c r="J784" i="8"/>
  <c r="N130" i="8"/>
  <c r="N546" i="8"/>
  <c r="Q526" i="20"/>
  <c r="F527" i="20"/>
  <c r="F532" i="20" s="1"/>
  <c r="F100" i="20"/>
  <c r="F411" i="20"/>
  <c r="F1263" i="20" s="1"/>
  <c r="F1297" i="20" s="1"/>
  <c r="F65" i="20"/>
  <c r="F399" i="20"/>
  <c r="F1260" i="20" s="1"/>
  <c r="J1153" i="8"/>
  <c r="J1154" i="8"/>
  <c r="J318" i="8"/>
  <c r="J527" i="20"/>
  <c r="J100" i="20"/>
  <c r="G311" i="8"/>
  <c r="Q1118" i="8"/>
  <c r="G1120" i="8"/>
  <c r="G1119" i="8"/>
  <c r="I300" i="20"/>
  <c r="I1098" i="20"/>
  <c r="M940" i="8"/>
  <c r="M249" i="8"/>
  <c r="M939" i="8"/>
  <c r="N293" i="20"/>
  <c r="N1080" i="20"/>
  <c r="L894" i="8"/>
  <c r="L242" i="8"/>
  <c r="D13" i="26"/>
  <c r="D187" i="26" s="1"/>
  <c r="D188" i="26" s="1"/>
  <c r="G188" i="26" s="1"/>
  <c r="I244" i="20"/>
  <c r="I938" i="20"/>
  <c r="J256" i="8"/>
  <c r="J968" i="8"/>
  <c r="J966" i="8"/>
  <c r="J967" i="8"/>
  <c r="K1037" i="8"/>
  <c r="K1038" i="8"/>
  <c r="K290" i="8"/>
  <c r="P648" i="20"/>
  <c r="P651" i="8"/>
  <c r="P355" i="20"/>
  <c r="P1234" i="20"/>
  <c r="P527" i="20"/>
  <c r="P100" i="20"/>
  <c r="F352" i="8"/>
  <c r="F1212" i="8"/>
  <c r="F1211" i="8"/>
  <c r="Q1210" i="8"/>
  <c r="H1171" i="8"/>
  <c r="H325" i="8"/>
  <c r="H1172" i="8"/>
  <c r="I1033" i="20"/>
  <c r="I1036" i="8"/>
  <c r="P278" i="2"/>
  <c r="L134" i="20"/>
  <c r="L561" i="20"/>
  <c r="O130" i="8"/>
  <c r="O546" i="8"/>
  <c r="O551" i="8" s="1"/>
  <c r="G130" i="8"/>
  <c r="Q545" i="8"/>
  <c r="G546" i="8"/>
  <c r="Q783" i="8"/>
  <c r="L938" i="20"/>
  <c r="L244" i="20"/>
  <c r="Q1096" i="20"/>
  <c r="O703" i="8"/>
  <c r="O702" i="8"/>
  <c r="P1212" i="8"/>
  <c r="P1213" i="8"/>
  <c r="P1211" i="8"/>
  <c r="P352" i="8"/>
  <c r="M1234" i="20"/>
  <c r="M355" i="20"/>
  <c r="E141" i="20"/>
  <c r="Q593" i="20"/>
  <c r="H290" i="8"/>
  <c r="H1039" i="8"/>
  <c r="H1037" i="8"/>
  <c r="H1038" i="8"/>
  <c r="E286" i="20"/>
  <c r="E1036" i="20"/>
  <c r="M1233" i="20"/>
  <c r="P151" i="8"/>
  <c r="P619" i="8"/>
  <c r="G848" i="8"/>
  <c r="P170" i="2"/>
  <c r="G847" i="20"/>
  <c r="M228" i="8"/>
  <c r="M825" i="8"/>
  <c r="M824" i="8"/>
  <c r="M1306" i="8" s="1"/>
  <c r="G563" i="8"/>
  <c r="Q562" i="8"/>
  <c r="G137" i="8"/>
  <c r="F66" i="8"/>
  <c r="F401" i="8"/>
  <c r="F402" i="8"/>
  <c r="F1262" i="8" s="1"/>
  <c r="F414" i="8"/>
  <c r="F1265" i="8" s="1"/>
  <c r="F1299" i="8" s="1"/>
  <c r="Q400" i="8"/>
  <c r="G895" i="8"/>
  <c r="G1321" i="8" s="1"/>
  <c r="G894" i="8"/>
  <c r="G242" i="8"/>
  <c r="K1150" i="20"/>
  <c r="K1155" i="20" s="1"/>
  <c r="K314" i="20"/>
  <c r="N1084" i="8"/>
  <c r="N297" i="8"/>
  <c r="G527" i="20"/>
  <c r="G532" i="20" s="1"/>
  <c r="G100" i="20"/>
  <c r="G66" i="8"/>
  <c r="G414" i="8"/>
  <c r="G402" i="8"/>
  <c r="G1262" i="8" s="1"/>
  <c r="G401" i="8"/>
  <c r="Q528" i="8"/>
  <c r="O1033" i="20"/>
  <c r="O1036" i="8"/>
  <c r="N146" i="2"/>
  <c r="G293" i="2"/>
  <c r="G284" i="2"/>
  <c r="P1210" i="20"/>
  <c r="P348" i="20"/>
  <c r="P1209" i="20"/>
  <c r="Q1207" i="20"/>
  <c r="P101" i="8"/>
  <c r="P529" i="8"/>
  <c r="H321" i="20"/>
  <c r="H1168" i="20"/>
  <c r="H401" i="8"/>
  <c r="H66" i="8"/>
  <c r="H414" i="8"/>
  <c r="K130" i="8"/>
  <c r="K546" i="8"/>
  <c r="P200" i="2"/>
  <c r="H290" i="2"/>
  <c r="P288" i="2"/>
  <c r="H296" i="2"/>
  <c r="I144" i="8"/>
  <c r="I596" i="8"/>
  <c r="E144" i="8"/>
  <c r="Q595" i="8"/>
  <c r="E596" i="8"/>
  <c r="G544" i="20"/>
  <c r="G127" i="20"/>
  <c r="Q543" i="20"/>
  <c r="H965" i="20"/>
  <c r="H251" i="20"/>
  <c r="Q1082" i="8"/>
  <c r="E594" i="20"/>
  <c r="P424" i="20"/>
  <c r="P429" i="20" s="1"/>
  <c r="P74" i="20" s="1"/>
  <c r="P1098" i="20"/>
  <c r="P300" i="20"/>
  <c r="I1237" i="8"/>
  <c r="I359" i="8"/>
  <c r="I1238" i="8"/>
  <c r="Q1236" i="8"/>
  <c r="G1153" i="8"/>
  <c r="G1154" i="8"/>
  <c r="Q1152" i="8"/>
  <c r="G318" i="8"/>
  <c r="J228" i="8"/>
  <c r="Q823" i="8"/>
  <c r="J824" i="8"/>
  <c r="J196" i="20"/>
  <c r="Q196" i="20" s="1"/>
  <c r="J782" i="20"/>
  <c r="J1286" i="20" s="1"/>
  <c r="N127" i="20"/>
  <c r="N544" i="20"/>
  <c r="N263" i="8"/>
  <c r="N1009" i="8"/>
  <c r="N1011" i="8"/>
  <c r="N1010" i="8"/>
  <c r="M401" i="8"/>
  <c r="M414" i="8"/>
  <c r="M66" i="8"/>
  <c r="M402" i="8"/>
  <c r="M1262" i="8" s="1"/>
  <c r="F143" i="2"/>
  <c r="J459" i="20"/>
  <c r="J79" i="20"/>
  <c r="Q458" i="20"/>
  <c r="H318" i="8"/>
  <c r="H1154" i="8"/>
  <c r="H1153" i="8"/>
  <c r="M304" i="8"/>
  <c r="M1102" i="8"/>
  <c r="M1101" i="8"/>
  <c r="M244" i="20"/>
  <c r="M938" i="20"/>
  <c r="K321" i="20"/>
  <c r="K1167" i="20"/>
  <c r="K1168" i="20"/>
  <c r="J1083" i="8"/>
  <c r="J297" i="8"/>
  <c r="J1084" i="8"/>
  <c r="L237" i="20"/>
  <c r="L893" i="20"/>
  <c r="P1172" i="8"/>
  <c r="N399" i="20"/>
  <c r="N1260" i="20" s="1"/>
  <c r="N65" i="20"/>
  <c r="G411" i="20"/>
  <c r="G1263" i="20" s="1"/>
  <c r="G1297" i="20" s="1"/>
  <c r="G65" i="20"/>
  <c r="G399" i="20"/>
  <c r="G1260" i="20" s="1"/>
  <c r="O849" i="20"/>
  <c r="O230" i="20"/>
  <c r="E1265" i="8"/>
  <c r="E1299" i="8" s="1"/>
  <c r="K286" i="20"/>
  <c r="K1036" i="20"/>
  <c r="K1319" i="20" s="1"/>
  <c r="G1005" i="20"/>
  <c r="G1008" i="8"/>
  <c r="P194" i="2"/>
  <c r="K699" i="20"/>
  <c r="P87" i="2"/>
  <c r="K701" i="8"/>
  <c r="K186" i="8" s="1"/>
  <c r="H847" i="20"/>
  <c r="H848" i="8"/>
  <c r="P242" i="8"/>
  <c r="P894" i="8"/>
  <c r="Q426" i="8"/>
  <c r="P427" i="8"/>
  <c r="P73" i="8"/>
  <c r="N411" i="20"/>
  <c r="N1263" i="20" s="1"/>
  <c r="N1297" i="20" s="1"/>
  <c r="E251" i="20"/>
  <c r="E965" i="20"/>
  <c r="I648" i="20"/>
  <c r="I651" i="8"/>
  <c r="P295" i="2"/>
  <c r="E299" i="2"/>
  <c r="M1238" i="8"/>
  <c r="M359" i="8"/>
  <c r="M1237" i="8"/>
  <c r="L137" i="8"/>
  <c r="L563" i="8"/>
  <c r="O544" i="20"/>
  <c r="O549" i="20" s="1"/>
  <c r="O127" i="20"/>
  <c r="K301" i="2"/>
  <c r="H299" i="2"/>
  <c r="M299" i="2"/>
  <c r="P145" i="2"/>
  <c r="I299" i="2"/>
  <c r="E1262" i="20"/>
  <c r="P69" i="8"/>
  <c r="L203" i="8"/>
  <c r="L1290" i="8"/>
  <c r="H1290" i="8"/>
  <c r="H203" i="8"/>
  <c r="E203" i="8"/>
  <c r="P48" i="23"/>
  <c r="L417" i="8"/>
  <c r="J1266" i="8"/>
  <c r="J417" i="8"/>
  <c r="P838" i="20"/>
  <c r="P1307" i="20"/>
  <c r="P1327" i="20" s="1"/>
  <c r="K1307" i="8"/>
  <c r="G1288" i="8"/>
  <c r="F549" i="20"/>
  <c r="G483" i="8"/>
  <c r="L1287" i="8"/>
  <c r="M1310" i="8"/>
  <c r="M1330" i="8" s="1"/>
  <c r="O1310" i="8"/>
  <c r="O1330" i="8" s="1"/>
  <c r="H1310" i="8"/>
  <c r="K1310" i="8"/>
  <c r="K1330" i="8" s="1"/>
  <c r="F1310" i="8"/>
  <c r="F1330" i="8" s="1"/>
  <c r="I1307" i="20"/>
  <c r="I1327" i="20" s="1"/>
  <c r="I838" i="20"/>
  <c r="F1307" i="20"/>
  <c r="F1327" i="20" s="1"/>
  <c r="N1309" i="8"/>
  <c r="H1307" i="20"/>
  <c r="H1327" i="20" s="1"/>
  <c r="J1309" i="8"/>
  <c r="O1309" i="8"/>
  <c r="O1329" i="8" s="1"/>
  <c r="O839" i="8"/>
  <c r="M1309" i="8"/>
  <c r="M839" i="8"/>
  <c r="I1309" i="8"/>
  <c r="F1309" i="8"/>
  <c r="F839" i="8"/>
  <c r="P1309" i="8"/>
  <c r="M1307" i="20"/>
  <c r="M1327" i="20" s="1"/>
  <c r="E1327" i="20"/>
  <c r="F360" i="8"/>
  <c r="E324" i="3"/>
  <c r="P318" i="3"/>
  <c r="E321" i="3"/>
  <c r="Q1104" i="8"/>
  <c r="O305" i="8"/>
  <c r="O1105" i="8"/>
  <c r="I788" i="8"/>
  <c r="I792" i="8"/>
  <c r="I797" i="8"/>
  <c r="Q787" i="8"/>
  <c r="E271" i="26" s="1"/>
  <c r="I201" i="8"/>
  <c r="H1020" i="8"/>
  <c r="H1018" i="8"/>
  <c r="H264" i="8" s="1"/>
  <c r="I978" i="8"/>
  <c r="L1023" i="8"/>
  <c r="O976" i="8"/>
  <c r="O979" i="8" s="1"/>
  <c r="H356" i="20"/>
  <c r="J1155" i="20"/>
  <c r="I182" i="2"/>
  <c r="P180" i="2"/>
  <c r="I282" i="2"/>
  <c r="I294" i="2" s="1"/>
  <c r="M413" i="20"/>
  <c r="M1265" i="20" s="1"/>
  <c r="M1299" i="20" s="1"/>
  <c r="H413" i="20"/>
  <c r="H1265" i="20" s="1"/>
  <c r="H1299" i="20" s="1"/>
  <c r="N413" i="20"/>
  <c r="N1265" i="20" s="1"/>
  <c r="N1299" i="20" s="1"/>
  <c r="J413" i="20"/>
  <c r="J1265" i="20" s="1"/>
  <c r="J1299" i="20" s="1"/>
  <c r="O413" i="20"/>
  <c r="O1265" i="20" s="1"/>
  <c r="O1299" i="20" s="1"/>
  <c r="E413" i="20"/>
  <c r="E414" i="20" s="1"/>
  <c r="P413" i="20"/>
  <c r="P1265" i="20" s="1"/>
  <c r="P1299" i="20" s="1"/>
  <c r="L413" i="20"/>
  <c r="L1265" i="20" s="1"/>
  <c r="L1299" i="20" s="1"/>
  <c r="F413" i="20"/>
  <c r="F1265" i="20" s="1"/>
  <c r="F1299" i="20" s="1"/>
  <c r="G413" i="20"/>
  <c r="G1265" i="20" s="1"/>
  <c r="G1299" i="20" s="1"/>
  <c r="K413" i="20"/>
  <c r="E530" i="20"/>
  <c r="Q529" i="20"/>
  <c r="E101" i="20"/>
  <c r="O1101" i="20"/>
  <c r="O301" i="20"/>
  <c r="Q301" i="20" s="1"/>
  <c r="Q1100" i="20"/>
  <c r="G73" i="20"/>
  <c r="G431" i="20"/>
  <c r="G427" i="20"/>
  <c r="Q426" i="20"/>
  <c r="H249" i="8"/>
  <c r="H941" i="8"/>
  <c r="H940" i="8"/>
  <c r="H939" i="8"/>
  <c r="I68" i="20"/>
  <c r="M1020" i="8"/>
  <c r="P128" i="3"/>
  <c r="J709" i="8"/>
  <c r="J707" i="20"/>
  <c r="E72" i="20"/>
  <c r="E424" i="20"/>
  <c r="Q423" i="20"/>
  <c r="G74" i="8"/>
  <c r="Q429" i="8"/>
  <c r="G430" i="8"/>
  <c r="G434" i="8"/>
  <c r="F54" i="23"/>
  <c r="P54" i="23" s="1"/>
  <c r="P53" i="23"/>
  <c r="K1215" i="20"/>
  <c r="K349" i="20" s="1"/>
  <c r="F1243" i="20"/>
  <c r="L199" i="20"/>
  <c r="L1288" i="20"/>
  <c r="E67" i="5"/>
  <c r="P54" i="5"/>
  <c r="E838" i="8"/>
  <c r="E229" i="8"/>
  <c r="E828" i="8"/>
  <c r="I74" i="8"/>
  <c r="I434" i="8"/>
  <c r="I430" i="8"/>
  <c r="H42" i="23"/>
  <c r="P41" i="23"/>
  <c r="K976" i="8"/>
  <c r="K979" i="8" s="1"/>
  <c r="K257" i="8"/>
  <c r="H938" i="20"/>
  <c r="H244" i="20"/>
  <c r="F1264" i="20"/>
  <c r="N1264" i="20"/>
  <c r="E1289" i="20"/>
  <c r="L1264" i="20"/>
  <c r="J1264" i="20"/>
  <c r="E1264" i="20"/>
  <c r="L1050" i="8"/>
  <c r="G976" i="8"/>
  <c r="J1018" i="8"/>
  <c r="P705" i="20"/>
  <c r="P707" i="8"/>
  <c r="M1048" i="8"/>
  <c r="M1046" i="8"/>
  <c r="M291" i="8" s="1"/>
  <c r="E1328" i="20"/>
  <c r="Q827" i="8"/>
  <c r="L229" i="8"/>
  <c r="L828" i="8"/>
  <c r="L838" i="8"/>
  <c r="J407" i="8"/>
  <c r="M1043" i="20"/>
  <c r="M287" i="20" s="1"/>
  <c r="G978" i="8"/>
  <c r="M657" i="20"/>
  <c r="L663" i="8"/>
  <c r="L660" i="8"/>
  <c r="L657" i="20"/>
  <c r="K665" i="8"/>
  <c r="O1218" i="8"/>
  <c r="O1214" i="20"/>
  <c r="J664" i="8"/>
  <c r="Q1241" i="20" l="1"/>
  <c r="E974" i="8"/>
  <c r="I976" i="8"/>
  <c r="I974" i="8"/>
  <c r="N1271" i="8"/>
  <c r="P938" i="8"/>
  <c r="P935" i="20"/>
  <c r="P244" i="20" s="1"/>
  <c r="A255" i="3"/>
  <c r="A256" i="3" s="1"/>
  <c r="A257" i="3" s="1"/>
  <c r="A259" i="3" s="1"/>
  <c r="A260" i="3" s="1"/>
  <c r="A261" i="3" s="1"/>
  <c r="A265" i="3" s="1"/>
  <c r="A266" i="3" s="1"/>
  <c r="A270" i="3" s="1"/>
  <c r="A271" i="3" s="1"/>
  <c r="A274" i="3" s="1"/>
  <c r="A290" i="3" s="1"/>
  <c r="A291" i="3" s="1"/>
  <c r="A292" i="3" s="1"/>
  <c r="A293" i="3" s="1"/>
  <c r="A294" i="3" s="1"/>
  <c r="A296" i="3" s="1"/>
  <c r="A297" i="3" s="1"/>
  <c r="A298" i="3" s="1"/>
  <c r="A299" i="3" s="1"/>
  <c r="A300" i="3" s="1"/>
  <c r="A302" i="3" s="1"/>
  <c r="A303" i="3" s="1"/>
  <c r="A304" i="3" s="1"/>
  <c r="A305" i="3" s="1"/>
  <c r="A306" i="3" s="1"/>
  <c r="A307" i="3" s="1"/>
  <c r="A309" i="3" s="1"/>
  <c r="A310" i="3" s="1"/>
  <c r="A311" i="3" s="1"/>
  <c r="A312" i="3" s="1"/>
  <c r="A313" i="3" s="1"/>
  <c r="A314" i="3" s="1"/>
  <c r="A316" i="3" s="1"/>
  <c r="A317" i="3" s="1"/>
  <c r="A318" i="3" s="1"/>
  <c r="A319" i="3" s="1"/>
  <c r="A320" i="3" s="1"/>
  <c r="A322" i="3" s="1"/>
  <c r="A323" i="3" s="1"/>
  <c r="A324" i="3" s="1"/>
  <c r="A325" i="3" s="1"/>
  <c r="A326" i="3" s="1"/>
  <c r="A327" i="3" s="1"/>
  <c r="A329" i="3" s="1"/>
  <c r="A330" i="3" s="1"/>
  <c r="A331" i="3" s="1"/>
  <c r="A332" i="3" s="1"/>
  <c r="A334" i="3" s="1"/>
  <c r="A335" i="3" s="1"/>
  <c r="A336" i="3" s="1"/>
  <c r="A337" i="3" s="1"/>
  <c r="A353" i="3" s="1"/>
  <c r="A354" i="3" s="1"/>
  <c r="A355" i="3" s="1"/>
  <c r="A357" i="3" s="1"/>
  <c r="A358" i="3" s="1"/>
  <c r="A359" i="3" s="1"/>
  <c r="A360" i="3" s="1"/>
  <c r="A362" i="3" s="1"/>
  <c r="A363" i="3" s="1"/>
  <c r="A364" i="3" s="1"/>
  <c r="A365" i="3" s="1"/>
  <c r="A367" i="3" s="1"/>
  <c r="A368" i="3" s="1"/>
  <c r="A369" i="3" s="1"/>
  <c r="A371" i="3" s="1"/>
  <c r="A372" i="3" s="1"/>
  <c r="A373" i="3" s="1"/>
  <c r="A374" i="3" s="1"/>
  <c r="A376" i="3" s="1"/>
  <c r="A377" i="3" s="1"/>
  <c r="A378" i="3" s="1"/>
  <c r="A382" i="3" s="1"/>
  <c r="A383" i="3" s="1"/>
  <c r="A387" i="3" s="1"/>
  <c r="A388" i="3" s="1"/>
  <c r="A393" i="3" s="1"/>
  <c r="A394" i="3" s="1"/>
  <c r="A395" i="3" s="1"/>
  <c r="A396" i="3" s="1"/>
  <c r="A398" i="3" s="1"/>
  <c r="A399" i="3" s="1"/>
  <c r="A400" i="3" s="1"/>
  <c r="A402" i="3" s="1"/>
  <c r="A403" i="3" s="1"/>
  <c r="A404" i="3" s="1"/>
  <c r="A405" i="3" s="1"/>
  <c r="A421" i="3" s="1"/>
  <c r="A422" i="3" s="1"/>
  <c r="A423" i="3" s="1"/>
  <c r="A424" i="3" s="1"/>
  <c r="A426" i="3" s="1"/>
  <c r="A427" i="3" s="1"/>
  <c r="A428" i="3" s="1"/>
  <c r="A429" i="3" s="1"/>
  <c r="A431" i="3" s="1"/>
  <c r="A432" i="3" s="1"/>
  <c r="A433" i="3" s="1"/>
  <c r="A434" i="3" s="1"/>
  <c r="A436" i="3" s="1"/>
  <c r="A437" i="3" s="1"/>
  <c r="A438" i="3" s="1"/>
  <c r="A439" i="3" s="1"/>
  <c r="A443" i="3" s="1"/>
  <c r="A444" i="3" s="1"/>
  <c r="A445" i="3" s="1"/>
  <c r="A446" i="3" s="1"/>
  <c r="G1273" i="8"/>
  <c r="Q1245" i="8"/>
  <c r="H1273" i="8"/>
  <c r="M1273" i="8"/>
  <c r="N432" i="8"/>
  <c r="N436" i="8" s="1"/>
  <c r="N77" i="8" s="1"/>
  <c r="E432" i="8"/>
  <c r="E75" i="8" s="1"/>
  <c r="M432" i="8"/>
  <c r="M75" i="8" s="1"/>
  <c r="O1273" i="8"/>
  <c r="D433" i="3"/>
  <c r="D434" i="3" s="1"/>
  <c r="Q356" i="20"/>
  <c r="Q1239" i="20"/>
  <c r="C218" i="28"/>
  <c r="C219" i="28" s="1"/>
  <c r="E217" i="28"/>
  <c r="E76" i="8"/>
  <c r="I76" i="8"/>
  <c r="F76" i="8"/>
  <c r="N76" i="8"/>
  <c r="P76" i="8"/>
  <c r="M284" i="2"/>
  <c r="M294" i="2"/>
  <c r="M468" i="20"/>
  <c r="M83" i="20" s="1"/>
  <c r="A186" i="8"/>
  <c r="A187" i="8" s="1"/>
  <c r="A188" i="8" s="1"/>
  <c r="A189" i="8" s="1"/>
  <c r="A190" i="8" s="1"/>
  <c r="A192" i="8" s="1"/>
  <c r="A193" i="8" s="1"/>
  <c r="A194" i="8" s="1"/>
  <c r="A195" i="8" s="1"/>
  <c r="A196" i="8" s="1"/>
  <c r="A197" i="8" s="1"/>
  <c r="A199" i="8" s="1"/>
  <c r="A200" i="8" s="1"/>
  <c r="A201" i="8" s="1"/>
  <c r="A202" i="8" s="1"/>
  <c r="A203" i="8" s="1"/>
  <c r="A204" i="8" s="1"/>
  <c r="J703" i="8"/>
  <c r="J1280" i="8" s="1"/>
  <c r="J1296" i="8" s="1"/>
  <c r="J186" i="8"/>
  <c r="N720" i="8"/>
  <c r="N189" i="8" s="1"/>
  <c r="N187" i="8"/>
  <c r="L703" i="8"/>
  <c r="L1280" i="8" s="1"/>
  <c r="L1296" i="8" s="1"/>
  <c r="L186" i="8"/>
  <c r="H702" i="8"/>
  <c r="H1279" i="8" s="1"/>
  <c r="H186" i="8"/>
  <c r="Q1243" i="8"/>
  <c r="E1247" i="8"/>
  <c r="E1249" i="8" s="1"/>
  <c r="Q360" i="8"/>
  <c r="D49" i="14" s="1"/>
  <c r="G767" i="8"/>
  <c r="G195" i="8" s="1"/>
  <c r="Q1246" i="8"/>
  <c r="E411" i="8"/>
  <c r="A248" i="2"/>
  <c r="A249" i="2" s="1"/>
  <c r="A250" i="2" s="1"/>
  <c r="A251" i="2" s="1"/>
  <c r="A252" i="2" s="1"/>
  <c r="A268" i="2" s="1"/>
  <c r="A269" i="2" s="1"/>
  <c r="A270" i="2" s="1"/>
  <c r="A271" i="2" s="1"/>
  <c r="A273" i="2" s="1"/>
  <c r="A275" i="2" s="1"/>
  <c r="A276" i="2" s="1"/>
  <c r="E650" i="20"/>
  <c r="E1270" i="20" s="1"/>
  <c r="A26" i="2"/>
  <c r="A27" i="2" s="1"/>
  <c r="A29" i="2" s="1"/>
  <c r="A30" i="2" s="1"/>
  <c r="A31" i="2" s="1"/>
  <c r="A32" i="2" s="1"/>
  <c r="A34" i="2" s="1"/>
  <c r="M296" i="2"/>
  <c r="J498" i="20"/>
  <c r="J95" i="20" s="1"/>
  <c r="E300" i="2"/>
  <c r="E302" i="2" s="1"/>
  <c r="K300" i="2"/>
  <c r="J1026" i="8"/>
  <c r="J265" i="8" s="1"/>
  <c r="E272" i="26"/>
  <c r="E1245" i="20"/>
  <c r="E1249" i="20" s="1"/>
  <c r="G621" i="20"/>
  <c r="G150" i="20" s="1"/>
  <c r="H1245" i="20"/>
  <c r="H1249" i="20" s="1"/>
  <c r="H359" i="20" s="1"/>
  <c r="N1245" i="20"/>
  <c r="N1249" i="20" s="1"/>
  <c r="N359" i="20" s="1"/>
  <c r="O1245" i="20"/>
  <c r="O357" i="20" s="1"/>
  <c r="K1245" i="20"/>
  <c r="K1249" i="20" s="1"/>
  <c r="K359" i="20" s="1"/>
  <c r="P1245" i="20"/>
  <c r="P1249" i="20" s="1"/>
  <c r="P359" i="20" s="1"/>
  <c r="G1319" i="20"/>
  <c r="G1245" i="20"/>
  <c r="G1249" i="20" s="1"/>
  <c r="G359" i="20" s="1"/>
  <c r="J1245" i="20"/>
  <c r="J357" i="20" s="1"/>
  <c r="M1121" i="20"/>
  <c r="M1125" i="20" s="1"/>
  <c r="M311" i="20" s="1"/>
  <c r="L1245" i="20"/>
  <c r="L357" i="20" s="1"/>
  <c r="E498" i="20"/>
  <c r="E95" i="20" s="1"/>
  <c r="Q1289" i="20"/>
  <c r="K1121" i="20"/>
  <c r="K309" i="20" s="1"/>
  <c r="I414" i="20"/>
  <c r="F1121" i="20"/>
  <c r="F309" i="20" s="1"/>
  <c r="N1103" i="20"/>
  <c r="N1107" i="20" s="1"/>
  <c r="N304" i="20" s="1"/>
  <c r="Q794" i="20"/>
  <c r="H119" i="26" s="1"/>
  <c r="H148" i="26" s="1"/>
  <c r="O771" i="20"/>
  <c r="Q1080" i="20"/>
  <c r="J605" i="20"/>
  <c r="J143" i="20" s="1"/>
  <c r="Q412" i="20"/>
  <c r="H117" i="26" s="1"/>
  <c r="E148" i="26" s="1"/>
  <c r="D57" i="26"/>
  <c r="K296" i="2"/>
  <c r="N1179" i="20"/>
  <c r="N323" i="20" s="1"/>
  <c r="G56" i="23"/>
  <c r="N605" i="20"/>
  <c r="N143" i="20" s="1"/>
  <c r="J1249" i="8"/>
  <c r="J361" i="8" s="1"/>
  <c r="F1249" i="8"/>
  <c r="F361" i="8" s="1"/>
  <c r="G607" i="8"/>
  <c r="G611" i="8" s="1"/>
  <c r="G148" i="8" s="1"/>
  <c r="N607" i="8"/>
  <c r="N146" i="8" s="1"/>
  <c r="L407" i="8"/>
  <c r="L68" i="8" s="1"/>
  <c r="E466" i="8"/>
  <c r="E470" i="8" s="1"/>
  <c r="E84" i="8" s="1"/>
  <c r="N1281" i="8"/>
  <c r="O1093" i="8"/>
  <c r="O301" i="8" s="1"/>
  <c r="H628" i="8"/>
  <c r="H155" i="8" s="1"/>
  <c r="O483" i="8"/>
  <c r="O89" i="8" s="1"/>
  <c r="P572" i="8"/>
  <c r="P141" i="8" s="1"/>
  <c r="N249" i="8"/>
  <c r="M171" i="3"/>
  <c r="G166" i="3"/>
  <c r="I767" i="8"/>
  <c r="I771" i="8" s="1"/>
  <c r="J568" i="8"/>
  <c r="J139" i="8" s="1"/>
  <c r="H830" i="8"/>
  <c r="H834" i="8" s="1"/>
  <c r="H841" i="8" s="1"/>
  <c r="H232" i="8" s="1"/>
  <c r="H26" i="8" s="1"/>
  <c r="E504" i="8"/>
  <c r="E98" i="8" s="1"/>
  <c r="N940" i="8"/>
  <c r="N939" i="8"/>
  <c r="J1310" i="8"/>
  <c r="J1330" i="8" s="1"/>
  <c r="O284" i="2"/>
  <c r="P938" i="20"/>
  <c r="L702" i="8"/>
  <c r="L1279" i="8" s="1"/>
  <c r="E652" i="8"/>
  <c r="E1271" i="8" s="1"/>
  <c r="E653" i="8"/>
  <c r="E1272" i="8" s="1"/>
  <c r="O444" i="3"/>
  <c r="L444" i="3"/>
  <c r="I444" i="3"/>
  <c r="G179" i="3"/>
  <c r="G444" i="3" s="1"/>
  <c r="F171" i="3"/>
  <c r="F444" i="3"/>
  <c r="C456" i="3"/>
  <c r="E456" i="3" s="1"/>
  <c r="E459" i="3" s="1"/>
  <c r="P169" i="3"/>
  <c r="P1179" i="20"/>
  <c r="P323" i="20" s="1"/>
  <c r="E568" i="8"/>
  <c r="E572" i="8" s="1"/>
  <c r="E141" i="8" s="1"/>
  <c r="F1179" i="20"/>
  <c r="F1183" i="20" s="1"/>
  <c r="F325" i="20" s="1"/>
  <c r="G464" i="20"/>
  <c r="G468" i="20" s="1"/>
  <c r="G83" i="20" s="1"/>
  <c r="N481" i="20"/>
  <c r="N88" i="20" s="1"/>
  <c r="F607" i="8"/>
  <c r="F611" i="8" s="1"/>
  <c r="F429" i="20"/>
  <c r="F433" i="20" s="1"/>
  <c r="F76" i="20" s="1"/>
  <c r="M203" i="8"/>
  <c r="J1290" i="8"/>
  <c r="J432" i="8"/>
  <c r="J75" i="8" s="1"/>
  <c r="L1262" i="20"/>
  <c r="M838" i="20"/>
  <c r="E1183" i="8"/>
  <c r="E327" i="8" s="1"/>
  <c r="H838" i="20"/>
  <c r="J839" i="8"/>
  <c r="K553" i="20"/>
  <c r="K131" i="20" s="1"/>
  <c r="P532" i="20"/>
  <c r="P536" i="20" s="1"/>
  <c r="P104" i="20" s="1"/>
  <c r="H549" i="20"/>
  <c r="H129" i="20" s="1"/>
  <c r="I466" i="8"/>
  <c r="I82" i="8" s="1"/>
  <c r="K444" i="3"/>
  <c r="P1310" i="8"/>
  <c r="P1330" i="8" s="1"/>
  <c r="J483" i="8"/>
  <c r="J89" i="8" s="1"/>
  <c r="M466" i="8"/>
  <c r="M82" i="8" s="1"/>
  <c r="F568" i="8"/>
  <c r="F572" i="8" s="1"/>
  <c r="F141" i="8" s="1"/>
  <c r="P839" i="8"/>
  <c r="I839" i="8"/>
  <c r="E607" i="8"/>
  <c r="E146" i="8" s="1"/>
  <c r="M549" i="20"/>
  <c r="M553" i="20" s="1"/>
  <c r="M131" i="20" s="1"/>
  <c r="I624" i="8"/>
  <c r="I628" i="8" s="1"/>
  <c r="I155" i="8" s="1"/>
  <c r="J532" i="20"/>
  <c r="J102" i="20" s="1"/>
  <c r="Q656" i="20"/>
  <c r="I1264" i="8"/>
  <c r="I1103" i="20"/>
  <c r="I302" i="20" s="1"/>
  <c r="G466" i="8"/>
  <c r="G82" i="8" s="1"/>
  <c r="L910" i="8"/>
  <c r="L244" i="8" s="1"/>
  <c r="O532" i="20"/>
  <c r="O102" i="20" s="1"/>
  <c r="G1264" i="8"/>
  <c r="E1264" i="8"/>
  <c r="O624" i="8"/>
  <c r="O153" i="8" s="1"/>
  <c r="N1310" i="8"/>
  <c r="N1330" i="8" s="1"/>
  <c r="M1262" i="20"/>
  <c r="N1089" i="8"/>
  <c r="N299" i="8" s="1"/>
  <c r="G481" i="20"/>
  <c r="G485" i="20" s="1"/>
  <c r="G90" i="20" s="1"/>
  <c r="M568" i="8"/>
  <c r="M572" i="8" s="1"/>
  <c r="M141" i="8" s="1"/>
  <c r="J433" i="20"/>
  <c r="J76" i="20" s="1"/>
  <c r="N536" i="20"/>
  <c r="N104" i="20" s="1"/>
  <c r="P483" i="8"/>
  <c r="P89" i="8" s="1"/>
  <c r="M605" i="20"/>
  <c r="M609" i="20" s="1"/>
  <c r="M145" i="20" s="1"/>
  <c r="E35" i="22"/>
  <c r="K532" i="20"/>
  <c r="K536" i="20" s="1"/>
  <c r="K104" i="20" s="1"/>
  <c r="I771" i="20"/>
  <c r="H910" i="8"/>
  <c r="H244" i="8" s="1"/>
  <c r="E417" i="8"/>
  <c r="E68" i="8" s="1"/>
  <c r="P82" i="20"/>
  <c r="K621" i="20"/>
  <c r="K625" i="20" s="1"/>
  <c r="K152" i="20" s="1"/>
  <c r="E1046" i="8"/>
  <c r="E291" i="8" s="1"/>
  <c r="K483" i="8"/>
  <c r="K89" i="8" s="1"/>
  <c r="L767" i="8"/>
  <c r="L771" i="8" s="1"/>
  <c r="H466" i="8"/>
  <c r="H82" i="8" s="1"/>
  <c r="Q67" i="8"/>
  <c r="D19" i="14" s="1"/>
  <c r="Q1301" i="8"/>
  <c r="Q73" i="20"/>
  <c r="K838" i="20"/>
  <c r="H429" i="20"/>
  <c r="H433" i="20" s="1"/>
  <c r="H76" i="20" s="1"/>
  <c r="L498" i="20"/>
  <c r="L95" i="20" s="1"/>
  <c r="H432" i="8"/>
  <c r="H75" i="8" s="1"/>
  <c r="E605" i="20"/>
  <c r="E143" i="20" s="1"/>
  <c r="P1290" i="8"/>
  <c r="P1292" i="8" s="1"/>
  <c r="K716" i="8"/>
  <c r="K1281" i="8" s="1"/>
  <c r="G1183" i="20"/>
  <c r="G325" i="20" s="1"/>
  <c r="M1264" i="8"/>
  <c r="O199" i="20"/>
  <c r="H672" i="20"/>
  <c r="H1273" i="20" s="1"/>
  <c r="H156" i="20"/>
  <c r="F84" i="22" s="1"/>
  <c r="C35" i="22"/>
  <c r="N839" i="8"/>
  <c r="N841" i="8" s="1"/>
  <c r="N232" i="8" s="1"/>
  <c r="N26" i="8" s="1"/>
  <c r="N790" i="8"/>
  <c r="N202" i="8" s="1"/>
  <c r="I566" i="20"/>
  <c r="I136" i="20" s="1"/>
  <c r="F199" i="20"/>
  <c r="M102" i="20"/>
  <c r="G1262" i="20"/>
  <c r="F605" i="20"/>
  <c r="F143" i="20" s="1"/>
  <c r="K429" i="20"/>
  <c r="K433" i="20" s="1"/>
  <c r="K76" i="20" s="1"/>
  <c r="L621" i="20"/>
  <c r="L150" i="20" s="1"/>
  <c r="H1121" i="20"/>
  <c r="H1125" i="20" s="1"/>
  <c r="H311" i="20" s="1"/>
  <c r="P1103" i="20"/>
  <c r="P302" i="20" s="1"/>
  <c r="F1163" i="8"/>
  <c r="F322" i="8" s="1"/>
  <c r="I551" i="8"/>
  <c r="I132" i="8" s="1"/>
  <c r="N1183" i="8"/>
  <c r="N1187" i="8" s="1"/>
  <c r="N329" i="8" s="1"/>
  <c r="H444" i="3"/>
  <c r="E444" i="3"/>
  <c r="E89" i="8"/>
  <c r="Q462" i="20"/>
  <c r="K417" i="8"/>
  <c r="K68" i="8" s="1"/>
  <c r="N725" i="8"/>
  <c r="N1283" i="8" s="1"/>
  <c r="P790" i="8"/>
  <c r="P202" i="8" s="1"/>
  <c r="I625" i="20"/>
  <c r="I152" i="20" s="1"/>
  <c r="K551" i="8"/>
  <c r="K555" i="8" s="1"/>
  <c r="K134" i="8" s="1"/>
  <c r="F432" i="8"/>
  <c r="F436" i="8" s="1"/>
  <c r="F77" i="8" s="1"/>
  <c r="P767" i="8"/>
  <c r="P771" i="8" s="1"/>
  <c r="J607" i="8"/>
  <c r="J611" i="8" s="1"/>
  <c r="J148" i="8" s="1"/>
  <c r="J103" i="8"/>
  <c r="H1264" i="8"/>
  <c r="N1288" i="20"/>
  <c r="K708" i="20"/>
  <c r="K183" i="20" s="1"/>
  <c r="I85" i="22" s="1"/>
  <c r="K411" i="8"/>
  <c r="F625" i="20"/>
  <c r="F152" i="20" s="1"/>
  <c r="E624" i="8"/>
  <c r="E628" i="8" s="1"/>
  <c r="E155" i="8" s="1"/>
  <c r="L466" i="8"/>
  <c r="L470" i="8" s="1"/>
  <c r="L84" i="8" s="1"/>
  <c r="P161" i="3"/>
  <c r="L566" i="20"/>
  <c r="L570" i="20" s="1"/>
  <c r="L138" i="20" s="1"/>
  <c r="G1263" i="8"/>
  <c r="Q416" i="8"/>
  <c r="M1103" i="20"/>
  <c r="M1107" i="20" s="1"/>
  <c r="M304" i="20" s="1"/>
  <c r="E774" i="8"/>
  <c r="E88" i="20"/>
  <c r="L568" i="8"/>
  <c r="L572" i="8" s="1"/>
  <c r="L141" i="8" s="1"/>
  <c r="P624" i="8"/>
  <c r="P153" i="8" s="1"/>
  <c r="N910" i="8"/>
  <c r="N244" i="8" s="1"/>
  <c r="K1107" i="8"/>
  <c r="K1111" i="8" s="1"/>
  <c r="K308" i="8" s="1"/>
  <c r="K710" i="8"/>
  <c r="E1263" i="8"/>
  <c r="Q405" i="8"/>
  <c r="G838" i="20"/>
  <c r="P466" i="8"/>
  <c r="P470" i="8" s="1"/>
  <c r="P84" i="8" s="1"/>
  <c r="G1288" i="20"/>
  <c r="J444" i="3"/>
  <c r="P437" i="3"/>
  <c r="J1288" i="20"/>
  <c r="J199" i="20"/>
  <c r="M660" i="8"/>
  <c r="M670" i="8" s="1"/>
  <c r="M1274" i="8" s="1"/>
  <c r="G1290" i="8"/>
  <c r="G1292" i="8" s="1"/>
  <c r="F481" i="20"/>
  <c r="F88" i="20" s="1"/>
  <c r="H625" i="20"/>
  <c r="H152" i="20" s="1"/>
  <c r="P1264" i="8"/>
  <c r="G1103" i="20"/>
  <c r="G302" i="20" s="1"/>
  <c r="K1219" i="8"/>
  <c r="K353" i="8" s="1"/>
  <c r="H708" i="20"/>
  <c r="H718" i="20" s="1"/>
  <c r="L1264" i="8"/>
  <c r="P1288" i="20"/>
  <c r="P199" i="20"/>
  <c r="P774" i="8"/>
  <c r="G156" i="20"/>
  <c r="E84" i="22" s="1"/>
  <c r="Q128" i="20"/>
  <c r="L1129" i="8"/>
  <c r="L315" i="8" s="1"/>
  <c r="M433" i="20"/>
  <c r="M76" i="20" s="1"/>
  <c r="O566" i="20"/>
  <c r="O570" i="20" s="1"/>
  <c r="O138" i="20" s="1"/>
  <c r="P500" i="8"/>
  <c r="P504" i="8" s="1"/>
  <c r="P98" i="8" s="1"/>
  <c r="P549" i="20"/>
  <c r="P129" i="20" s="1"/>
  <c r="J96" i="8"/>
  <c r="K767" i="8"/>
  <c r="K195" i="8" s="1"/>
  <c r="G667" i="20"/>
  <c r="G158" i="20" s="1"/>
  <c r="Q1243" i="20"/>
  <c r="N624" i="8"/>
  <c r="N153" i="8" s="1"/>
  <c r="N464" i="20"/>
  <c r="N468" i="20" s="1"/>
  <c r="N83" i="20" s="1"/>
  <c r="O605" i="20"/>
  <c r="O609" i="20" s="1"/>
  <c r="O145" i="20" s="1"/>
  <c r="I274" i="3"/>
  <c r="N35" i="22"/>
  <c r="M767" i="8"/>
  <c r="M771" i="8" s="1"/>
  <c r="K432" i="8"/>
  <c r="K75" i="8" s="1"/>
  <c r="I464" i="20"/>
  <c r="I81" i="20" s="1"/>
  <c r="M146" i="8"/>
  <c r="K1262" i="20"/>
  <c r="J485" i="20"/>
  <c r="J90" i="20" s="1"/>
  <c r="N621" i="20"/>
  <c r="N625" i="20" s="1"/>
  <c r="N152" i="20" s="1"/>
  <c r="K302" i="20"/>
  <c r="Q496" i="20"/>
  <c r="E625" i="20"/>
  <c r="E152" i="20" s="1"/>
  <c r="E150" i="20"/>
  <c r="F202" i="8"/>
  <c r="G708" i="20"/>
  <c r="G723" i="20" s="1"/>
  <c r="N183" i="20"/>
  <c r="M1018" i="8"/>
  <c r="M264" i="8" s="1"/>
  <c r="G534" i="8"/>
  <c r="G103" i="8" s="1"/>
  <c r="M910" i="8"/>
  <c r="M244" i="8" s="1"/>
  <c r="N771" i="8"/>
  <c r="N776" i="8" s="1"/>
  <c r="N197" i="8" s="1"/>
  <c r="Q1308" i="20"/>
  <c r="N718" i="20"/>
  <c r="N185" i="20" s="1"/>
  <c r="M1024" i="8"/>
  <c r="L790" i="8"/>
  <c r="L202" i="8" s="1"/>
  <c r="K1288" i="20"/>
  <c r="N549" i="20"/>
  <c r="N553" i="20" s="1"/>
  <c r="N131" i="20" s="1"/>
  <c r="M1183" i="8"/>
  <c r="M327" i="8" s="1"/>
  <c r="P464" i="20"/>
  <c r="P468" i="20" s="1"/>
  <c r="P83" i="20" s="1"/>
  <c r="P126" i="3"/>
  <c r="K1263" i="8"/>
  <c r="N83" i="22"/>
  <c r="N194" i="8"/>
  <c r="O88" i="20"/>
  <c r="O485" i="20"/>
  <c r="O90" i="20" s="1"/>
  <c r="N444" i="3"/>
  <c r="I1264" i="20"/>
  <c r="Q1264" i="20" s="1"/>
  <c r="K1264" i="8"/>
  <c r="P555" i="8"/>
  <c r="P134" i="8" s="1"/>
  <c r="Q466" i="20"/>
  <c r="H98" i="26" s="1"/>
  <c r="H35" i="22"/>
  <c r="Q468" i="8"/>
  <c r="F98" i="26" s="1"/>
  <c r="J56" i="23"/>
  <c r="F1290" i="8"/>
  <c r="F1292" i="8" s="1"/>
  <c r="N190" i="20"/>
  <c r="N771" i="20"/>
  <c r="N1281" i="20" s="1"/>
  <c r="G609" i="20"/>
  <c r="G145" i="20" s="1"/>
  <c r="K470" i="8"/>
  <c r="K84" i="8" s="1"/>
  <c r="G790" i="8"/>
  <c r="G202" i="8" s="1"/>
  <c r="N1290" i="8"/>
  <c r="N1292" i="8" s="1"/>
  <c r="L500" i="8"/>
  <c r="L96" i="8" s="1"/>
  <c r="M498" i="20"/>
  <c r="M95" i="20" s="1"/>
  <c r="J549" i="20"/>
  <c r="J553" i="20" s="1"/>
  <c r="J131" i="20" s="1"/>
  <c r="K464" i="20"/>
  <c r="K81" i="20" s="1"/>
  <c r="G771" i="20"/>
  <c r="I1262" i="20"/>
  <c r="N838" i="20"/>
  <c r="Q1119" i="20"/>
  <c r="N195" i="8"/>
  <c r="I498" i="20"/>
  <c r="I502" i="20" s="1"/>
  <c r="I97" i="20" s="1"/>
  <c r="P1263" i="8"/>
  <c r="Q479" i="20"/>
  <c r="Q764" i="8"/>
  <c r="F774" i="8"/>
  <c r="F195" i="8" s="1"/>
  <c r="Q66" i="20"/>
  <c r="O1264" i="8"/>
  <c r="K56" i="23"/>
  <c r="Q655" i="20"/>
  <c r="J180" i="3"/>
  <c r="J181" i="3" s="1"/>
  <c r="O1263" i="8"/>
  <c r="J666" i="8"/>
  <c r="J1273" i="8" s="1"/>
  <c r="G83" i="22"/>
  <c r="Q547" i="20"/>
  <c r="O150" i="20"/>
  <c r="E468" i="20"/>
  <c r="E83" i="20" s="1"/>
  <c r="O139" i="8"/>
  <c r="F570" i="20"/>
  <c r="F138" i="20" s="1"/>
  <c r="Q305" i="8"/>
  <c r="D44" i="14" s="1"/>
  <c r="F838" i="20"/>
  <c r="H566" i="20"/>
  <c r="H136" i="20" s="1"/>
  <c r="N568" i="8"/>
  <c r="N572" i="8" s="1"/>
  <c r="N141" i="8" s="1"/>
  <c r="F551" i="8"/>
  <c r="F555" i="8" s="1"/>
  <c r="F134" i="8" s="1"/>
  <c r="O767" i="8"/>
  <c r="O771" i="8" s="1"/>
  <c r="K35" i="22"/>
  <c r="Q564" i="20"/>
  <c r="L361" i="8"/>
  <c r="H1159" i="20"/>
  <c r="H318" i="20" s="1"/>
  <c r="I89" i="8"/>
  <c r="P88" i="20"/>
  <c r="Q1267" i="8"/>
  <c r="O470" i="8"/>
  <c r="O84" i="8" s="1"/>
  <c r="P605" i="20"/>
  <c r="P143" i="20" s="1"/>
  <c r="N498" i="20"/>
  <c r="N95" i="20" s="1"/>
  <c r="O838" i="20"/>
  <c r="G841" i="8"/>
  <c r="G232" i="8" s="1"/>
  <c r="G26" i="8" s="1"/>
  <c r="Q789" i="20"/>
  <c r="H99" i="26" s="1"/>
  <c r="D83" i="22"/>
  <c r="G1249" i="8"/>
  <c r="G361" i="8" s="1"/>
  <c r="M103" i="8"/>
  <c r="I607" i="8"/>
  <c r="I146" i="8" s="1"/>
  <c r="J910" i="8"/>
  <c r="J914" i="8" s="1"/>
  <c r="J246" i="8" s="1"/>
  <c r="Q464" i="8"/>
  <c r="J1264" i="8"/>
  <c r="Q765" i="8"/>
  <c r="L1179" i="20"/>
  <c r="L1183" i="20" s="1"/>
  <c r="L325" i="20" s="1"/>
  <c r="O830" i="8"/>
  <c r="O834" i="8" s="1"/>
  <c r="O841" i="8" s="1"/>
  <c r="O232" i="8" s="1"/>
  <c r="O26" i="8" s="1"/>
  <c r="Q657" i="8"/>
  <c r="Q532" i="8"/>
  <c r="Q192" i="20"/>
  <c r="L708" i="20"/>
  <c r="L718" i="20" s="1"/>
  <c r="Q1328" i="20"/>
  <c r="F1159" i="20"/>
  <c r="F318" i="20" s="1"/>
  <c r="Q837" i="20"/>
  <c r="Q406" i="20"/>
  <c r="H95" i="26" s="1"/>
  <c r="J1263" i="8"/>
  <c r="P190" i="20"/>
  <c r="P771" i="20"/>
  <c r="P607" i="8"/>
  <c r="P611" i="8" s="1"/>
  <c r="P148" i="8" s="1"/>
  <c r="H483" i="8"/>
  <c r="H487" i="8" s="1"/>
  <c r="H91" i="8" s="1"/>
  <c r="H83" i="22"/>
  <c r="Q619" i="20"/>
  <c r="Q135" i="20"/>
  <c r="Q1175" i="20"/>
  <c r="K660" i="8"/>
  <c r="K670" i="8" s="1"/>
  <c r="K1274" i="8" s="1"/>
  <c r="M132" i="8"/>
  <c r="L432" i="8"/>
  <c r="L75" i="8" s="1"/>
  <c r="L306" i="8"/>
  <c r="O660" i="8"/>
  <c r="O159" i="8" s="1"/>
  <c r="M36" i="22" s="1"/>
  <c r="J83" i="22"/>
  <c r="G159" i="8"/>
  <c r="E36" i="22" s="1"/>
  <c r="G675" i="8"/>
  <c r="G1275" i="8" s="1"/>
  <c r="G670" i="8"/>
  <c r="G161" i="8" s="1"/>
  <c r="O774" i="8"/>
  <c r="O194" i="8"/>
  <c r="J194" i="8"/>
  <c r="J774" i="8"/>
  <c r="N306" i="8"/>
  <c r="Q907" i="8"/>
  <c r="Q762" i="8"/>
  <c r="M1263" i="8"/>
  <c r="N1262" i="20"/>
  <c r="P910" i="8"/>
  <c r="P244" i="8" s="1"/>
  <c r="F464" i="20"/>
  <c r="F468" i="20" s="1"/>
  <c r="F83" i="20" s="1"/>
  <c r="L429" i="20"/>
  <c r="L74" i="20" s="1"/>
  <c r="E1125" i="8"/>
  <c r="E1129" i="8" s="1"/>
  <c r="E315" i="8" s="1"/>
  <c r="N981" i="8"/>
  <c r="N258" i="8" s="1"/>
  <c r="M83" i="22"/>
  <c r="Q88" i="8"/>
  <c r="D22" i="14" s="1"/>
  <c r="L1263" i="8"/>
  <c r="F190" i="20"/>
  <c r="F771" i="20"/>
  <c r="L88" i="20"/>
  <c r="L485" i="20"/>
  <c r="L90" i="20" s="1"/>
  <c r="H96" i="8"/>
  <c r="H504" i="8"/>
  <c r="H98" i="8" s="1"/>
  <c r="N504" i="8"/>
  <c r="N98" i="8" s="1"/>
  <c r="N96" i="8"/>
  <c r="Q229" i="8"/>
  <c r="D36" i="14" s="1"/>
  <c r="I485" i="20"/>
  <c r="I90" i="20" s="1"/>
  <c r="Q498" i="8"/>
  <c r="Q1266" i="8"/>
  <c r="N551" i="8"/>
  <c r="N555" i="8" s="1"/>
  <c r="N134" i="8" s="1"/>
  <c r="P390" i="3"/>
  <c r="L716" i="8"/>
  <c r="L1281" i="8" s="1"/>
  <c r="F863" i="8"/>
  <c r="Q659" i="8"/>
  <c r="F504" i="8"/>
  <c r="F98" i="8" s="1"/>
  <c r="I74" i="20"/>
  <c r="H417" i="8"/>
  <c r="K605" i="20"/>
  <c r="K143" i="20" s="1"/>
  <c r="L1183" i="8"/>
  <c r="L1187" i="8" s="1"/>
  <c r="L329" i="8" s="1"/>
  <c r="O156" i="20"/>
  <c r="M84" i="22" s="1"/>
  <c r="Q87" i="20"/>
  <c r="D35" i="22"/>
  <c r="L35" i="22"/>
  <c r="Q312" i="8"/>
  <c r="D45" i="14" s="1"/>
  <c r="Q1177" i="20"/>
  <c r="Q81" i="8"/>
  <c r="D21" i="14" s="1"/>
  <c r="E1292" i="8"/>
  <c r="J660" i="8"/>
  <c r="J159" i="8" s="1"/>
  <c r="H36" i="22" s="1"/>
  <c r="K82" i="8"/>
  <c r="Q415" i="8"/>
  <c r="Q766" i="20"/>
  <c r="J621" i="20"/>
  <c r="J150" i="20" s="1"/>
  <c r="H481" i="20"/>
  <c r="H485" i="20" s="1"/>
  <c r="H90" i="20" s="1"/>
  <c r="Q1180" i="8"/>
  <c r="L83" i="22"/>
  <c r="Q131" i="8"/>
  <c r="D25" i="14" s="1"/>
  <c r="L710" i="8"/>
  <c r="H771" i="8"/>
  <c r="J153" i="8"/>
  <c r="J628" i="8"/>
  <c r="J155" i="8" s="1"/>
  <c r="L611" i="8"/>
  <c r="L148" i="8" s="1"/>
  <c r="L146" i="8"/>
  <c r="K572" i="8"/>
  <c r="K141" i="8" s="1"/>
  <c r="K139" i="8"/>
  <c r="H568" i="8"/>
  <c r="H572" i="8" s="1"/>
  <c r="H141" i="8" s="1"/>
  <c r="N103" i="8"/>
  <c r="P1093" i="8"/>
  <c r="P301" i="8" s="1"/>
  <c r="Q566" i="8"/>
  <c r="O82" i="20"/>
  <c r="O1262" i="20"/>
  <c r="G863" i="8"/>
  <c r="Q861" i="8"/>
  <c r="G908" i="8"/>
  <c r="G910" i="8" s="1"/>
  <c r="G914" i="8" s="1"/>
  <c r="G246" i="8" s="1"/>
  <c r="Q138" i="8"/>
  <c r="D26" i="14" s="1"/>
  <c r="E243" i="8"/>
  <c r="Q243" i="8" s="1"/>
  <c r="D38" i="14" s="1"/>
  <c r="Q902" i="8"/>
  <c r="Q549" i="8"/>
  <c r="Q481" i="8"/>
  <c r="F83" i="8"/>
  <c r="Q83" i="8" s="1"/>
  <c r="F1264" i="8"/>
  <c r="J35" i="22"/>
  <c r="J68" i="20"/>
  <c r="J1262" i="20"/>
  <c r="E236" i="8"/>
  <c r="Q236" i="8" s="1"/>
  <c r="D37" i="14" s="1"/>
  <c r="Q857" i="8"/>
  <c r="F663" i="8"/>
  <c r="F666" i="8" s="1"/>
  <c r="F1273" i="8" s="1"/>
  <c r="F660" i="8"/>
  <c r="Q149" i="20"/>
  <c r="C86" i="22"/>
  <c r="O86" i="22" s="1"/>
  <c r="Q197" i="20"/>
  <c r="Q622" i="8"/>
  <c r="H605" i="8"/>
  <c r="Q603" i="8"/>
  <c r="Q905" i="8"/>
  <c r="F624" i="8"/>
  <c r="Q1087" i="8"/>
  <c r="H863" i="8"/>
  <c r="Q862" i="8"/>
  <c r="H322" i="20"/>
  <c r="Q322" i="20" s="1"/>
  <c r="Q1173" i="20"/>
  <c r="H142" i="20"/>
  <c r="Q142" i="20" s="1"/>
  <c r="Q599" i="20"/>
  <c r="L605" i="20"/>
  <c r="L609" i="20" s="1"/>
  <c r="E250" i="8"/>
  <c r="Q250" i="8" s="1"/>
  <c r="D39" i="14" s="1"/>
  <c r="Q947" i="8"/>
  <c r="F952" i="8"/>
  <c r="F954" i="8" s="1"/>
  <c r="F958" i="8" s="1"/>
  <c r="F253" i="8" s="1"/>
  <c r="Q951" i="8"/>
  <c r="H326" i="8"/>
  <c r="Q326" i="8" s="1"/>
  <c r="D47" i="14" s="1"/>
  <c r="Q1177" i="8"/>
  <c r="N428" i="3"/>
  <c r="N429" i="3" s="1"/>
  <c r="F1263" i="8"/>
  <c r="I1263" i="8"/>
  <c r="H1272" i="20"/>
  <c r="Q95" i="8"/>
  <c r="D23" i="14" s="1"/>
  <c r="M504" i="8"/>
  <c r="M98" i="8" s="1"/>
  <c r="M96" i="8"/>
  <c r="Q604" i="8"/>
  <c r="Q859" i="8"/>
  <c r="E863" i="8"/>
  <c r="E1288" i="20"/>
  <c r="E199" i="20"/>
  <c r="Q152" i="8"/>
  <c r="D28" i="14" s="1"/>
  <c r="M194" i="8"/>
  <c r="M774" i="8"/>
  <c r="L190" i="20"/>
  <c r="L771" i="20"/>
  <c r="D179" i="3"/>
  <c r="F82" i="20"/>
  <c r="F1262" i="20"/>
  <c r="H69" i="8"/>
  <c r="Q409" i="8"/>
  <c r="F95" i="26" s="1"/>
  <c r="F156" i="20"/>
  <c r="D84" i="22" s="1"/>
  <c r="F667" i="20"/>
  <c r="F672" i="20"/>
  <c r="F1273" i="20" s="1"/>
  <c r="E191" i="26"/>
  <c r="E57" i="26"/>
  <c r="H603" i="20"/>
  <c r="Q603" i="20" s="1"/>
  <c r="Q601" i="20"/>
  <c r="P386" i="3"/>
  <c r="M153" i="8"/>
  <c r="I257" i="8"/>
  <c r="H1179" i="20"/>
  <c r="H1183" i="20" s="1"/>
  <c r="H325" i="20" s="1"/>
  <c r="O607" i="8"/>
  <c r="O146" i="8" s="1"/>
  <c r="F466" i="8"/>
  <c r="F82" i="8" s="1"/>
  <c r="I534" i="8"/>
  <c r="I103" i="8" s="1"/>
  <c r="K1292" i="8"/>
  <c r="L483" i="8"/>
  <c r="L89" i="8" s="1"/>
  <c r="H1262" i="20"/>
  <c r="H68" i="20"/>
  <c r="M190" i="20"/>
  <c r="M771" i="20"/>
  <c r="Q949" i="8"/>
  <c r="E952" i="8"/>
  <c r="Q904" i="8"/>
  <c r="E908" i="8"/>
  <c r="H196" i="8"/>
  <c r="Q196" i="8" s="1"/>
  <c r="Q769" i="8"/>
  <c r="I979" i="8"/>
  <c r="I981" i="8" s="1"/>
  <c r="I985" i="8" s="1"/>
  <c r="I260" i="8" s="1"/>
  <c r="L1292" i="8"/>
  <c r="K607" i="8"/>
  <c r="K146" i="8" s="1"/>
  <c r="J551" i="8"/>
  <c r="J132" i="8" s="1"/>
  <c r="E790" i="8"/>
  <c r="E794" i="8" s="1"/>
  <c r="E799" i="8" s="1"/>
  <c r="E204" i="8" s="1"/>
  <c r="C21" i="22" s="1"/>
  <c r="I605" i="20"/>
  <c r="I609" i="20" s="1"/>
  <c r="I145" i="20" s="1"/>
  <c r="M621" i="20"/>
  <c r="M150" i="20" s="1"/>
  <c r="Q654" i="20"/>
  <c r="O667" i="20"/>
  <c r="H1288" i="20"/>
  <c r="H199" i="20"/>
  <c r="Q102" i="8"/>
  <c r="D24" i="14" s="1"/>
  <c r="G35" i="22"/>
  <c r="Q602" i="20"/>
  <c r="Q906" i="8"/>
  <c r="I908" i="8"/>
  <c r="I910" i="8" s="1"/>
  <c r="L194" i="8"/>
  <c r="L774" i="8"/>
  <c r="G712" i="8"/>
  <c r="G716" i="8" s="1"/>
  <c r="G1281" i="8" s="1"/>
  <c r="G710" i="8"/>
  <c r="G187" i="8" s="1"/>
  <c r="Q80" i="20"/>
  <c r="N1263" i="8"/>
  <c r="H194" i="8"/>
  <c r="H774" i="8"/>
  <c r="H195" i="8" s="1"/>
  <c r="Q760" i="8"/>
  <c r="Q1123" i="8"/>
  <c r="E231" i="20"/>
  <c r="Q231" i="20" s="1"/>
  <c r="Q856" i="20"/>
  <c r="E245" i="20"/>
  <c r="Q944" i="20"/>
  <c r="Q1176" i="20"/>
  <c r="I774" i="8"/>
  <c r="I194" i="8"/>
  <c r="H1181" i="8"/>
  <c r="Q1181" i="8" s="1"/>
  <c r="H190" i="20"/>
  <c r="Q757" i="20"/>
  <c r="H771" i="20"/>
  <c r="H712" i="8"/>
  <c r="H716" i="8" s="1"/>
  <c r="H1281" i="8" s="1"/>
  <c r="H710" i="8"/>
  <c r="H187" i="8" s="1"/>
  <c r="H145" i="8"/>
  <c r="Q145" i="8" s="1"/>
  <c r="D27" i="14" s="1"/>
  <c r="Q601" i="8"/>
  <c r="Q1179" i="8"/>
  <c r="Q298" i="8"/>
  <c r="D43" i="14" s="1"/>
  <c r="E238" i="20"/>
  <c r="Q238" i="20" s="1"/>
  <c r="Q900" i="20"/>
  <c r="Q94" i="20"/>
  <c r="K83" i="22"/>
  <c r="E1038" i="8"/>
  <c r="E1320" i="8" s="1"/>
  <c r="O74" i="20"/>
  <c r="O1183" i="8"/>
  <c r="O327" i="8" s="1"/>
  <c r="M790" i="8"/>
  <c r="M202" i="8" s="1"/>
  <c r="L81" i="20"/>
  <c r="H703" i="8"/>
  <c r="H1280" i="8" s="1"/>
  <c r="I954" i="8"/>
  <c r="I958" i="8" s="1"/>
  <c r="F1183" i="8"/>
  <c r="F1187" i="8" s="1"/>
  <c r="F329" i="8" s="1"/>
  <c r="P1278" i="20"/>
  <c r="P182" i="20"/>
  <c r="P702" i="8"/>
  <c r="P1279" i="8" s="1"/>
  <c r="P134" i="2"/>
  <c r="K504" i="8"/>
  <c r="K98" i="8" s="1"/>
  <c r="O182" i="20"/>
  <c r="I417" i="8"/>
  <c r="L429" i="3"/>
  <c r="P1016" i="8"/>
  <c r="P1013" i="20"/>
  <c r="P1015" i="20" s="1"/>
  <c r="P259" i="20" s="1"/>
  <c r="H971" i="8"/>
  <c r="H974" i="8" s="1"/>
  <c r="H968" i="20"/>
  <c r="H252" i="20" s="1"/>
  <c r="K307" i="3"/>
  <c r="K428" i="3"/>
  <c r="K1014" i="8"/>
  <c r="K1011" i="20"/>
  <c r="N660" i="8"/>
  <c r="N664" i="8"/>
  <c r="N666" i="8" s="1"/>
  <c r="N1273" i="8" s="1"/>
  <c r="L978" i="8"/>
  <c r="L979" i="8" s="1"/>
  <c r="L257" i="8"/>
  <c r="Q658" i="8"/>
  <c r="L1042" i="8"/>
  <c r="L1039" i="20"/>
  <c r="L1043" i="20" s="1"/>
  <c r="L287" i="20" s="1"/>
  <c r="H1215" i="20"/>
  <c r="H349" i="20" s="1"/>
  <c r="N1213" i="20"/>
  <c r="N1216" i="8"/>
  <c r="P706" i="8"/>
  <c r="P712" i="8" s="1"/>
  <c r="P704" i="20"/>
  <c r="P708" i="20" s="1"/>
  <c r="P269" i="3"/>
  <c r="F180" i="3"/>
  <c r="F181" i="3" s="1"/>
  <c r="F166" i="3"/>
  <c r="F327" i="3"/>
  <c r="F433" i="3"/>
  <c r="F434" i="3" s="1"/>
  <c r="K652" i="8"/>
  <c r="K1271" i="8" s="1"/>
  <c r="H182" i="20"/>
  <c r="P703" i="8"/>
  <c r="P1280" i="8" s="1"/>
  <c r="I662" i="8"/>
  <c r="Q656" i="8"/>
  <c r="I660" i="8"/>
  <c r="E129" i="3"/>
  <c r="E29" i="23" s="1"/>
  <c r="E30" i="23" s="1"/>
  <c r="E56" i="23" s="1"/>
  <c r="N433" i="3"/>
  <c r="N434" i="3" s="1"/>
  <c r="N327" i="3"/>
  <c r="D166" i="3"/>
  <c r="K166" i="3"/>
  <c r="K180" i="3"/>
  <c r="H159" i="8"/>
  <c r="F36" i="22" s="1"/>
  <c r="H675" i="8"/>
  <c r="H1275" i="8" s="1"/>
  <c r="H670" i="8"/>
  <c r="H1274" i="8" s="1"/>
  <c r="M968" i="20"/>
  <c r="M252" i="20" s="1"/>
  <c r="M971" i="8"/>
  <c r="M974" i="8" s="1"/>
  <c r="O171" i="3"/>
  <c r="O129" i="3"/>
  <c r="O29" i="23" s="1"/>
  <c r="O30" i="23" s="1"/>
  <c r="O56" i="23" s="1"/>
  <c r="I391" i="3"/>
  <c r="I428" i="3"/>
  <c r="P303" i="3"/>
  <c r="E1015" i="8"/>
  <c r="P304" i="3"/>
  <c r="E1012" i="20"/>
  <c r="E663" i="8"/>
  <c r="E666" i="8" s="1"/>
  <c r="E1273" i="8" s="1"/>
  <c r="E660" i="8"/>
  <c r="G429" i="3"/>
  <c r="E657" i="20"/>
  <c r="I166" i="3"/>
  <c r="F1218" i="8"/>
  <c r="F1214" i="20"/>
  <c r="O707" i="8"/>
  <c r="O705" i="20"/>
  <c r="O708" i="20" s="1"/>
  <c r="I129" i="3"/>
  <c r="I29" i="23" s="1"/>
  <c r="I30" i="23" s="1"/>
  <c r="I56" i="23" s="1"/>
  <c r="I171" i="3"/>
  <c r="E307" i="3"/>
  <c r="E428" i="3"/>
  <c r="E429" i="3" s="1"/>
  <c r="H1045" i="8"/>
  <c r="H1042" i="20"/>
  <c r="P326" i="3"/>
  <c r="L129" i="3"/>
  <c r="L29" i="23" s="1"/>
  <c r="L30" i="23" s="1"/>
  <c r="L56" i="23" s="1"/>
  <c r="L171" i="3"/>
  <c r="G1216" i="8"/>
  <c r="G1213" i="20"/>
  <c r="P388" i="3"/>
  <c r="Q653" i="20"/>
  <c r="I657" i="20"/>
  <c r="N1042" i="8"/>
  <c r="N1039" i="20"/>
  <c r="N1043" i="20" s="1"/>
  <c r="N287" i="20" s="1"/>
  <c r="I1215" i="20"/>
  <c r="I349" i="20" s="1"/>
  <c r="H129" i="3"/>
  <c r="H29" i="23" s="1"/>
  <c r="H30" i="23" s="1"/>
  <c r="H56" i="23" s="1"/>
  <c r="H171" i="3"/>
  <c r="H1219" i="8"/>
  <c r="H353" i="8" s="1"/>
  <c r="H1221" i="8"/>
  <c r="H1224" i="8" s="1"/>
  <c r="H1226" i="8" s="1"/>
  <c r="H1230" i="8" s="1"/>
  <c r="H356" i="8" s="1"/>
  <c r="M391" i="3"/>
  <c r="M428" i="3"/>
  <c r="P1216" i="8"/>
  <c r="P1213" i="20"/>
  <c r="P662" i="8"/>
  <c r="P666" i="8" s="1"/>
  <c r="P1273" i="8" s="1"/>
  <c r="P660" i="8"/>
  <c r="M1219" i="8"/>
  <c r="M353" i="8" s="1"/>
  <c r="M1221" i="8"/>
  <c r="M1224" i="8" s="1"/>
  <c r="M1226" i="8" s="1"/>
  <c r="M354" i="8" s="1"/>
  <c r="E968" i="20"/>
  <c r="P271" i="3"/>
  <c r="F970" i="20"/>
  <c r="F973" i="8"/>
  <c r="F974" i="8" s="1"/>
  <c r="P273" i="3"/>
  <c r="L166" i="3"/>
  <c r="H307" i="3"/>
  <c r="H428" i="3"/>
  <c r="P96" i="3"/>
  <c r="F391" i="3"/>
  <c r="F428" i="3"/>
  <c r="I1221" i="8"/>
  <c r="I1224" i="8" s="1"/>
  <c r="I1226" i="8" s="1"/>
  <c r="I1230" i="8" s="1"/>
  <c r="I356" i="8" s="1"/>
  <c r="I1219" i="8"/>
  <c r="I353" i="8" s="1"/>
  <c r="G274" i="3"/>
  <c r="G433" i="3"/>
  <c r="G434" i="3" s="1"/>
  <c r="L274" i="3"/>
  <c r="L433" i="3"/>
  <c r="L434" i="3" s="1"/>
  <c r="J1213" i="20"/>
  <c r="J1216" i="8"/>
  <c r="H166" i="3"/>
  <c r="P123" i="3"/>
  <c r="P170" i="3" s="1"/>
  <c r="D129" i="3"/>
  <c r="L1011" i="20"/>
  <c r="L1015" i="20" s="1"/>
  <c r="L259" i="20" s="1"/>
  <c r="L1014" i="8"/>
  <c r="E706" i="20"/>
  <c r="Q706" i="20" s="1"/>
  <c r="E708" i="8"/>
  <c r="P127" i="3"/>
  <c r="J704" i="20"/>
  <c r="J708" i="20" s="1"/>
  <c r="J706" i="8"/>
  <c r="J712" i="8" s="1"/>
  <c r="M706" i="8"/>
  <c r="M704" i="20"/>
  <c r="M708" i="20" s="1"/>
  <c r="P1050" i="8"/>
  <c r="P1052" i="8" s="1"/>
  <c r="P1322" i="8" s="1"/>
  <c r="P1046" i="8"/>
  <c r="P291" i="8" s="1"/>
  <c r="I1013" i="20"/>
  <c r="I1015" i="20" s="1"/>
  <c r="I259" i="20" s="1"/>
  <c r="I1016" i="8"/>
  <c r="P67" i="5"/>
  <c r="H701" i="20"/>
  <c r="H1278" i="20" s="1"/>
  <c r="K146" i="2"/>
  <c r="M327" i="3"/>
  <c r="M433" i="3"/>
  <c r="M434" i="3" s="1"/>
  <c r="F706" i="8"/>
  <c r="F704" i="20"/>
  <c r="P125" i="3"/>
  <c r="O1041" i="20"/>
  <c r="O1044" i="8"/>
  <c r="P325" i="3"/>
  <c r="I704" i="20"/>
  <c r="I708" i="20" s="1"/>
  <c r="I706" i="8"/>
  <c r="O307" i="3"/>
  <c r="O428" i="3"/>
  <c r="K1039" i="20"/>
  <c r="K1043" i="20" s="1"/>
  <c r="K287" i="20" s="1"/>
  <c r="K1042" i="8"/>
  <c r="P156" i="20"/>
  <c r="N84" i="22" s="1"/>
  <c r="P672" i="20"/>
  <c r="P1273" i="20" s="1"/>
  <c r="P667" i="20"/>
  <c r="M1215" i="20"/>
  <c r="M349" i="20" s="1"/>
  <c r="D307" i="3"/>
  <c r="D428" i="3"/>
  <c r="P301" i="3"/>
  <c r="E707" i="8"/>
  <c r="E705" i="20"/>
  <c r="O1011" i="20"/>
  <c r="O1015" i="20" s="1"/>
  <c r="O259" i="20" s="1"/>
  <c r="O1014" i="8"/>
  <c r="P305" i="3"/>
  <c r="E1016" i="8"/>
  <c r="E1013" i="20"/>
  <c r="J433" i="3"/>
  <c r="J434" i="3" s="1"/>
  <c r="N129" i="3"/>
  <c r="N29" i="23" s="1"/>
  <c r="N30" i="23" s="1"/>
  <c r="N56" i="23" s="1"/>
  <c r="J307" i="3"/>
  <c r="J428" i="3"/>
  <c r="N156" i="20"/>
  <c r="L84" i="22" s="1"/>
  <c r="N672" i="20"/>
  <c r="N1273" i="20" s="1"/>
  <c r="N667" i="20"/>
  <c r="F1017" i="8"/>
  <c r="F1014" i="20"/>
  <c r="P306" i="3"/>
  <c r="J1049" i="8"/>
  <c r="J1052" i="8" s="1"/>
  <c r="J1054" i="8" s="1"/>
  <c r="J292" i="8" s="1"/>
  <c r="J1046" i="8"/>
  <c r="J291" i="8" s="1"/>
  <c r="K433" i="3"/>
  <c r="K434" i="3" s="1"/>
  <c r="L1214" i="20"/>
  <c r="L1218" i="8"/>
  <c r="G1042" i="8"/>
  <c r="G1039" i="20"/>
  <c r="P323" i="3"/>
  <c r="J978" i="8"/>
  <c r="J979" i="8" s="1"/>
  <c r="J257" i="8"/>
  <c r="O166" i="3"/>
  <c r="L296" i="2"/>
  <c r="Q785" i="8"/>
  <c r="H268" i="26" s="1"/>
  <c r="K268" i="26" s="1"/>
  <c r="J702" i="8"/>
  <c r="J1279" i="8" s="1"/>
  <c r="M1093" i="8"/>
  <c r="M301" i="8" s="1"/>
  <c r="P1125" i="20"/>
  <c r="P311" i="20" s="1"/>
  <c r="K158" i="8"/>
  <c r="O1280" i="8"/>
  <c r="J767" i="8"/>
  <c r="J771" i="8" s="1"/>
  <c r="O323" i="20"/>
  <c r="K1309" i="8"/>
  <c r="Q1309" i="8" s="1"/>
  <c r="M1292" i="8"/>
  <c r="O538" i="8"/>
  <c r="O105" i="8" s="1"/>
  <c r="Q86" i="20"/>
  <c r="N316" i="20"/>
  <c r="P136" i="20"/>
  <c r="M136" i="20"/>
  <c r="J1278" i="20"/>
  <c r="J1294" i="20" s="1"/>
  <c r="N1319" i="20"/>
  <c r="L1155" i="20"/>
  <c r="L1159" i="20" s="1"/>
  <c r="L318" i="20" s="1"/>
  <c r="H1253" i="8"/>
  <c r="H363" i="8" s="1"/>
  <c r="F502" i="20"/>
  <c r="F97" i="20" s="1"/>
  <c r="G1183" i="8"/>
  <c r="G327" i="8" s="1"/>
  <c r="K954" i="8"/>
  <c r="K958" i="8" s="1"/>
  <c r="K253" i="8" s="1"/>
  <c r="O414" i="20"/>
  <c r="I1121" i="20"/>
  <c r="I1125" i="20" s="1"/>
  <c r="I311" i="20" s="1"/>
  <c r="J1179" i="20"/>
  <c r="J323" i="20" s="1"/>
  <c r="M485" i="20"/>
  <c r="M90" i="20" s="1"/>
  <c r="K830" i="8"/>
  <c r="K834" i="8" s="1"/>
  <c r="K841" i="8" s="1"/>
  <c r="K232" i="8" s="1"/>
  <c r="K26" i="8" s="1"/>
  <c r="J158" i="8"/>
  <c r="L1103" i="20"/>
  <c r="L302" i="20" s="1"/>
  <c r="F300" i="2"/>
  <c r="P143" i="2"/>
  <c r="Q200" i="8"/>
  <c r="C32" i="14" s="1"/>
  <c r="O1159" i="8"/>
  <c r="O320" i="8" s="1"/>
  <c r="M1125" i="8"/>
  <c r="M1129" i="8" s="1"/>
  <c r="M315" i="8" s="1"/>
  <c r="G1311" i="8"/>
  <c r="E1179" i="20"/>
  <c r="E1183" i="20" s="1"/>
  <c r="E325" i="20" s="1"/>
  <c r="G230" i="8"/>
  <c r="P301" i="2"/>
  <c r="M146" i="2"/>
  <c r="D146" i="2"/>
  <c r="O790" i="8"/>
  <c r="O202" i="8" s="1"/>
  <c r="H790" i="8"/>
  <c r="H202" i="8" s="1"/>
  <c r="F701" i="20"/>
  <c r="F1278" i="20" s="1"/>
  <c r="N650" i="20"/>
  <c r="N1270" i="20" s="1"/>
  <c r="E103" i="8"/>
  <c r="P128" i="2"/>
  <c r="O235" i="8"/>
  <c r="E290" i="8"/>
  <c r="O299" i="2"/>
  <c r="O1307" i="20"/>
  <c r="O1327" i="20" s="1"/>
  <c r="N433" i="20"/>
  <c r="N76" i="20" s="1"/>
  <c r="M323" i="20"/>
  <c r="M849" i="20"/>
  <c r="E309" i="20"/>
  <c r="L939" i="8"/>
  <c r="J652" i="8"/>
  <c r="J1271" i="8" s="1"/>
  <c r="I1262" i="8"/>
  <c r="Q1262" i="8" s="1"/>
  <c r="I407" i="8"/>
  <c r="I411" i="8" s="1"/>
  <c r="E320" i="8"/>
  <c r="P1129" i="8"/>
  <c r="P315" i="8" s="1"/>
  <c r="O1292" i="8"/>
  <c r="Q1097" i="20"/>
  <c r="H1103" i="20"/>
  <c r="H1107" i="20" s="1"/>
  <c r="H304" i="20" s="1"/>
  <c r="Q141" i="20"/>
  <c r="Q836" i="20"/>
  <c r="Q753" i="8"/>
  <c r="Q1209" i="20"/>
  <c r="J1321" i="8"/>
  <c r="L838" i="20"/>
  <c r="E1039" i="8"/>
  <c r="E1321" i="8" s="1"/>
  <c r="Q837" i="8"/>
  <c r="J306" i="8"/>
  <c r="Q1167" i="20"/>
  <c r="Q1286" i="20"/>
  <c r="M230" i="20"/>
  <c r="O850" i="8"/>
  <c r="O1315" i="8" s="1"/>
  <c r="P414" i="20"/>
  <c r="P433" i="20"/>
  <c r="P76" i="20" s="1"/>
  <c r="J470" i="8"/>
  <c r="J84" i="8" s="1"/>
  <c r="K914" i="8"/>
  <c r="K246" i="8" s="1"/>
  <c r="Q493" i="20"/>
  <c r="J1261" i="8"/>
  <c r="K1089" i="8"/>
  <c r="K1093" i="8" s="1"/>
  <c r="K301" i="8" s="1"/>
  <c r="L1089" i="8"/>
  <c r="L1093" i="8" s="1"/>
  <c r="L301" i="8" s="1"/>
  <c r="E1089" i="8"/>
  <c r="E1093" i="8" s="1"/>
  <c r="E301" i="8" s="1"/>
  <c r="M1159" i="8"/>
  <c r="M1163" i="8" s="1"/>
  <c r="M322" i="8" s="1"/>
  <c r="P1319" i="20"/>
  <c r="Q307" i="20"/>
  <c r="O1249" i="8"/>
  <c r="O1253" i="8" s="1"/>
  <c r="O363" i="8" s="1"/>
  <c r="K1125" i="8"/>
  <c r="K1129" i="8" s="1"/>
  <c r="K315" i="8" s="1"/>
  <c r="H1107" i="8"/>
  <c r="H306" i="8" s="1"/>
  <c r="G954" i="8"/>
  <c r="G251" i="8" s="1"/>
  <c r="E296" i="2"/>
  <c r="F296" i="2"/>
  <c r="N1249" i="8"/>
  <c r="N1253" i="8" s="1"/>
  <c r="N363" i="8" s="1"/>
  <c r="Q754" i="8"/>
  <c r="F794" i="8"/>
  <c r="F799" i="8" s="1"/>
  <c r="F204" i="8" s="1"/>
  <c r="F22" i="8" s="1"/>
  <c r="K968" i="8"/>
  <c r="K1321" i="8" s="1"/>
  <c r="Q751" i="20"/>
  <c r="Q965" i="8"/>
  <c r="G1089" i="8"/>
  <c r="L300" i="2"/>
  <c r="O981" i="8"/>
  <c r="O258" i="8" s="1"/>
  <c r="N570" i="20"/>
  <c r="N138" i="20" s="1"/>
  <c r="Q94" i="8"/>
  <c r="C23" i="14" s="1"/>
  <c r="J1121" i="20"/>
  <c r="J1125" i="20" s="1"/>
  <c r="J311" i="20" s="1"/>
  <c r="E767" i="8"/>
  <c r="E771" i="8" s="1"/>
  <c r="N1121" i="20"/>
  <c r="N1125" i="20" s="1"/>
  <c r="N311" i="20" s="1"/>
  <c r="J1183" i="8"/>
  <c r="J327" i="8" s="1"/>
  <c r="K88" i="20"/>
  <c r="K485" i="20"/>
  <c r="K90" i="20" s="1"/>
  <c r="O653" i="8"/>
  <c r="O1272" i="8" s="1"/>
  <c r="O158" i="8"/>
  <c r="O652" i="8"/>
  <c r="O1271" i="8" s="1"/>
  <c r="N155" i="20"/>
  <c r="H468" i="20"/>
  <c r="H83" i="20" s="1"/>
  <c r="L249" i="8"/>
  <c r="Q459" i="20"/>
  <c r="Q228" i="8"/>
  <c r="C36" i="14" s="1"/>
  <c r="I1159" i="8"/>
  <c r="I320" i="8" s="1"/>
  <c r="I1183" i="8"/>
  <c r="I1187" i="8" s="1"/>
  <c r="I329" i="8" s="1"/>
  <c r="Q701" i="8"/>
  <c r="Q189" i="20"/>
  <c r="N1320" i="8"/>
  <c r="L1261" i="8"/>
  <c r="L102" i="20"/>
  <c r="O155" i="20"/>
  <c r="O650" i="20"/>
  <c r="O1270" i="20" s="1"/>
  <c r="O1294" i="20" s="1"/>
  <c r="L538" i="8"/>
  <c r="L105" i="8" s="1"/>
  <c r="L103" i="8"/>
  <c r="F1245" i="20"/>
  <c r="F1249" i="20" s="1"/>
  <c r="F359" i="20" s="1"/>
  <c r="K790" i="8"/>
  <c r="K202" i="8" s="1"/>
  <c r="E316" i="20"/>
  <c r="H95" i="20"/>
  <c r="K570" i="20"/>
  <c r="K138" i="20" s="1"/>
  <c r="N313" i="8"/>
  <c r="O417" i="8"/>
  <c r="Q1210" i="20"/>
  <c r="Q784" i="8"/>
  <c r="N296" i="2"/>
  <c r="O1121" i="20"/>
  <c r="Q193" i="8"/>
  <c r="C31" i="14" s="1"/>
  <c r="H1089" i="8"/>
  <c r="Q1211" i="8"/>
  <c r="H414" i="20"/>
  <c r="Q594" i="20"/>
  <c r="O407" i="8"/>
  <c r="O411" i="8" s="1"/>
  <c r="O82" i="8"/>
  <c r="M81" i="20"/>
  <c r="L940" i="8"/>
  <c r="Q1033" i="20"/>
  <c r="Q151" i="8"/>
  <c r="C28" i="14" s="1"/>
  <c r="H1321" i="8"/>
  <c r="F910" i="8"/>
  <c r="F244" i="8" s="1"/>
  <c r="J1125" i="8"/>
  <c r="J313" i="8" s="1"/>
  <c r="Q93" i="20"/>
  <c r="Q348" i="20"/>
  <c r="J865" i="8"/>
  <c r="J237" i="8" s="1"/>
  <c r="I1089" i="8"/>
  <c r="I299" i="8" s="1"/>
  <c r="K1226" i="8"/>
  <c r="K1230" i="8" s="1"/>
  <c r="K356" i="8" s="1"/>
  <c r="L1125" i="20"/>
  <c r="L311" i="20" s="1"/>
  <c r="L309" i="20"/>
  <c r="I1306" i="8"/>
  <c r="I1311" i="8" s="1"/>
  <c r="I830" i="8"/>
  <c r="I834" i="8" s="1"/>
  <c r="F1125" i="8"/>
  <c r="P316" i="20"/>
  <c r="P1159" i="20"/>
  <c r="P318" i="20" s="1"/>
  <c r="L553" i="20"/>
  <c r="L131" i="20" s="1"/>
  <c r="L129" i="20"/>
  <c r="Q101" i="8"/>
  <c r="C24" i="14" s="1"/>
  <c r="J302" i="20"/>
  <c r="G502" i="20"/>
  <c r="G97" i="20" s="1"/>
  <c r="K966" i="8"/>
  <c r="K1320" i="8" s="1"/>
  <c r="Q1238" i="8"/>
  <c r="Q616" i="20"/>
  <c r="G1261" i="8"/>
  <c r="Q148" i="20"/>
  <c r="Q237" i="20"/>
  <c r="Q1098" i="20"/>
  <c r="L652" i="8"/>
  <c r="L1271" i="8" s="1"/>
  <c r="P1306" i="8"/>
  <c r="P830" i="8"/>
  <c r="P834" i="8" s="1"/>
  <c r="N850" i="8"/>
  <c r="N1315" i="8" s="1"/>
  <c r="N1327" i="8" s="1"/>
  <c r="N235" i="8"/>
  <c r="N849" i="8"/>
  <c r="G155" i="20"/>
  <c r="G650" i="20"/>
  <c r="G1270" i="20" s="1"/>
  <c r="H652" i="8"/>
  <c r="H1271" i="8" s="1"/>
  <c r="H158" i="8"/>
  <c r="H653" i="8"/>
  <c r="H1272" i="8" s="1"/>
  <c r="F230" i="20"/>
  <c r="F849" i="20"/>
  <c r="J300" i="2"/>
  <c r="J302" i="2" s="1"/>
  <c r="F1321" i="8"/>
  <c r="O914" i="8"/>
  <c r="O246" i="8" s="1"/>
  <c r="E1103" i="20"/>
  <c r="E302" i="20" s="1"/>
  <c r="P293" i="2"/>
  <c r="Q648" i="20"/>
  <c r="Q427" i="8"/>
  <c r="K256" i="8"/>
  <c r="M1245" i="20"/>
  <c r="Q461" i="8"/>
  <c r="I1245" i="20"/>
  <c r="I1249" i="20" s="1"/>
  <c r="I359" i="20" s="1"/>
  <c r="Q80" i="8"/>
  <c r="C21" i="14" s="1"/>
  <c r="L158" i="8"/>
  <c r="K299" i="2"/>
  <c r="L1159" i="8"/>
  <c r="N849" i="20"/>
  <c r="N1313" i="20" s="1"/>
  <c r="N230" i="20"/>
  <c r="G652" i="8"/>
  <c r="G1271" i="8" s="1"/>
  <c r="G158" i="8"/>
  <c r="G653" i="8"/>
  <c r="G1272" i="8" s="1"/>
  <c r="F849" i="8"/>
  <c r="F235" i="8"/>
  <c r="F850" i="8"/>
  <c r="P498" i="20"/>
  <c r="L153" i="8"/>
  <c r="L628" i="8"/>
  <c r="L155" i="8" s="1"/>
  <c r="G702" i="8"/>
  <c r="G703" i="8"/>
  <c r="G1280" i="8" s="1"/>
  <c r="G153" i="8"/>
  <c r="G628" i="8"/>
  <c r="G155" i="8" s="1"/>
  <c r="Q72" i="20"/>
  <c r="G407" i="8"/>
  <c r="G411" i="8" s="1"/>
  <c r="Q297" i="8"/>
  <c r="C43" i="14" s="1"/>
  <c r="Q321" i="20"/>
  <c r="H1319" i="20"/>
  <c r="J1159" i="8"/>
  <c r="J320" i="8" s="1"/>
  <c r="Q65" i="20"/>
  <c r="Q87" i="8"/>
  <c r="C22" i="14" s="1"/>
  <c r="Q223" i="20"/>
  <c r="Q1150" i="20"/>
  <c r="Q651" i="8"/>
  <c r="H1129" i="8"/>
  <c r="H315" i="8" s="1"/>
  <c r="H313" i="8"/>
  <c r="I1125" i="8"/>
  <c r="G182" i="20"/>
  <c r="G701" i="20"/>
  <c r="G1278" i="20" s="1"/>
  <c r="H650" i="20"/>
  <c r="H1270" i="20" s="1"/>
  <c r="H155" i="20"/>
  <c r="J136" i="20"/>
  <c r="J570" i="20"/>
  <c r="J138" i="20" s="1"/>
  <c r="M316" i="20"/>
  <c r="M1159" i="20"/>
  <c r="M318" i="20" s="1"/>
  <c r="I553" i="20"/>
  <c r="I131" i="20" s="1"/>
  <c r="I129" i="20"/>
  <c r="O316" i="20"/>
  <c r="O1159" i="20"/>
  <c r="O318" i="20" s="1"/>
  <c r="Q402" i="8"/>
  <c r="G1320" i="8"/>
  <c r="F89" i="8"/>
  <c r="F487" i="8"/>
  <c r="F91" i="8" s="1"/>
  <c r="M1008" i="20"/>
  <c r="M1007" i="20"/>
  <c r="M258" i="20"/>
  <c r="N82" i="8"/>
  <c r="N470" i="8"/>
  <c r="N84" i="8" s="1"/>
  <c r="E555" i="8"/>
  <c r="E134" i="8" s="1"/>
  <c r="E132" i="8"/>
  <c r="P235" i="8"/>
  <c r="P850" i="8"/>
  <c r="P849" i="8"/>
  <c r="K235" i="8"/>
  <c r="K849" i="8"/>
  <c r="K850" i="8"/>
  <c r="K1315" i="8" s="1"/>
  <c r="E249" i="8"/>
  <c r="E940" i="8"/>
  <c r="E941" i="8"/>
  <c r="E939" i="8"/>
  <c r="Q495" i="8"/>
  <c r="O96" i="8"/>
  <c r="O504" i="8"/>
  <c r="O98" i="8" s="1"/>
  <c r="L132" i="8"/>
  <c r="L555" i="8"/>
  <c r="L134" i="8" s="1"/>
  <c r="I235" i="8"/>
  <c r="I850" i="8"/>
  <c r="I849" i="8"/>
  <c r="P258" i="8"/>
  <c r="P985" i="8"/>
  <c r="P260" i="8" s="1"/>
  <c r="E230" i="20"/>
  <c r="E849" i="20"/>
  <c r="I1011" i="8"/>
  <c r="I1009" i="8"/>
  <c r="I263" i="8"/>
  <c r="I1010" i="8"/>
  <c r="I701" i="20"/>
  <c r="I1278" i="20" s="1"/>
  <c r="I182" i="20"/>
  <c r="M286" i="20"/>
  <c r="M1036" i="20"/>
  <c r="M1319" i="20" s="1"/>
  <c r="M1035" i="20"/>
  <c r="F155" i="20"/>
  <c r="F650" i="20"/>
  <c r="F1270" i="20" s="1"/>
  <c r="E129" i="20"/>
  <c r="E553" i="20"/>
  <c r="E131" i="20" s="1"/>
  <c r="F263" i="8"/>
  <c r="F1011" i="8"/>
  <c r="F1009" i="8"/>
  <c r="F1010" i="8"/>
  <c r="M414" i="20"/>
  <c r="K95" i="20"/>
  <c r="Q895" i="8"/>
  <c r="J1089" i="8"/>
  <c r="J1093" i="8" s="1"/>
  <c r="J301" i="8" s="1"/>
  <c r="N1026" i="8"/>
  <c r="N1030" i="8" s="1"/>
  <c r="N267" i="8" s="1"/>
  <c r="Q127" i="20"/>
  <c r="Q144" i="8"/>
  <c r="C27" i="14" s="1"/>
  <c r="Q325" i="8"/>
  <c r="C47" i="14" s="1"/>
  <c r="Q1212" i="8"/>
  <c r="Q100" i="20"/>
  <c r="J464" i="20"/>
  <c r="K1159" i="8"/>
  <c r="K320" i="8" s="1"/>
  <c r="Q293" i="20"/>
  <c r="L256" i="8"/>
  <c r="L967" i="8"/>
  <c r="Q967" i="8" s="1"/>
  <c r="L966" i="8"/>
  <c r="L968" i="8"/>
  <c r="M487" i="8"/>
  <c r="M91" i="8" s="1"/>
  <c r="M89" i="8"/>
  <c r="M1010" i="8"/>
  <c r="M263" i="8"/>
  <c r="M1011" i="8"/>
  <c r="M1315" i="8" s="1"/>
  <c r="M1009" i="8"/>
  <c r="O954" i="8"/>
  <c r="D300" i="2"/>
  <c r="D302" i="2" s="1"/>
  <c r="P849" i="20"/>
  <c r="P230" i="20"/>
  <c r="K230" i="20"/>
  <c r="K849" i="20"/>
  <c r="K1313" i="20" s="1"/>
  <c r="K1325" i="20" s="1"/>
  <c r="I139" i="8"/>
  <c r="I572" i="8"/>
  <c r="I141" i="8" s="1"/>
  <c r="K628" i="8"/>
  <c r="K155" i="8" s="1"/>
  <c r="K153" i="8"/>
  <c r="G500" i="8"/>
  <c r="E849" i="8"/>
  <c r="E850" i="8"/>
  <c r="E235" i="8"/>
  <c r="K103" i="8"/>
  <c r="K538" i="8"/>
  <c r="K105" i="8" s="1"/>
  <c r="I1007" i="20"/>
  <c r="I258" i="20"/>
  <c r="I1008" i="20"/>
  <c r="P1159" i="8"/>
  <c r="I1179" i="20"/>
  <c r="F1008" i="20"/>
  <c r="F1007" i="20"/>
  <c r="F258" i="20"/>
  <c r="Q476" i="20"/>
  <c r="O468" i="20"/>
  <c r="O83" i="20" s="1"/>
  <c r="Q478" i="8"/>
  <c r="O432" i="8"/>
  <c r="O436" i="8" s="1"/>
  <c r="O77" i="8" s="1"/>
  <c r="P417" i="8"/>
  <c r="Q73" i="8"/>
  <c r="C20" i="14" s="1"/>
  <c r="D14" i="26"/>
  <c r="O1261" i="8"/>
  <c r="O1313" i="20"/>
  <c r="K1179" i="20"/>
  <c r="K323" i="20" s="1"/>
  <c r="Q79" i="20"/>
  <c r="Q1154" i="8"/>
  <c r="Q359" i="8"/>
  <c r="C49" i="14" s="1"/>
  <c r="Q1171" i="8"/>
  <c r="Q782" i="20"/>
  <c r="I1261" i="8"/>
  <c r="E1261" i="8"/>
  <c r="Q130" i="8"/>
  <c r="C25" i="14" s="1"/>
  <c r="Q352" i="8"/>
  <c r="C48" i="14" s="1"/>
  <c r="Q300" i="20"/>
  <c r="Q311" i="8"/>
  <c r="C45" i="14" s="1"/>
  <c r="M865" i="8"/>
  <c r="M237" i="8" s="1"/>
  <c r="P1249" i="8"/>
  <c r="P1253" i="8" s="1"/>
  <c r="J1319" i="20"/>
  <c r="I1107" i="8"/>
  <c r="I1111" i="8" s="1"/>
  <c r="I308" i="8" s="1"/>
  <c r="Q1172" i="8"/>
  <c r="G1121" i="20"/>
  <c r="G309" i="20" s="1"/>
  <c r="G1155" i="20"/>
  <c r="L965" i="20"/>
  <c r="L1319" i="20" s="1"/>
  <c r="L964" i="20"/>
  <c r="Q964" i="20" s="1"/>
  <c r="L251" i="20"/>
  <c r="Q251" i="20" s="1"/>
  <c r="M703" i="8"/>
  <c r="M1280" i="8" s="1"/>
  <c r="M702" i="8"/>
  <c r="E701" i="20"/>
  <c r="E1278" i="20" s="1"/>
  <c r="E182" i="20"/>
  <c r="H103" i="8"/>
  <c r="H538" i="8"/>
  <c r="H105" i="8" s="1"/>
  <c r="N1159" i="8"/>
  <c r="E1107" i="8"/>
  <c r="L299" i="2"/>
  <c r="O498" i="20"/>
  <c r="P407" i="8"/>
  <c r="G1107" i="8"/>
  <c r="I1155" i="20"/>
  <c r="H536" i="20"/>
  <c r="H104" i="20" s="1"/>
  <c r="H102" i="20"/>
  <c r="N703" i="8"/>
  <c r="N702" i="8"/>
  <c r="H1320" i="8"/>
  <c r="P1183" i="8"/>
  <c r="P1187" i="8" s="1"/>
  <c r="P329" i="8" s="1"/>
  <c r="M182" i="20"/>
  <c r="M701" i="20"/>
  <c r="M1278" i="20" s="1"/>
  <c r="E703" i="8"/>
  <c r="E1280" i="8" s="1"/>
  <c r="E702" i="8"/>
  <c r="E938" i="20"/>
  <c r="E244" i="20"/>
  <c r="E937" i="20"/>
  <c r="F1093" i="8"/>
  <c r="F301" i="8" s="1"/>
  <c r="F299" i="8"/>
  <c r="I849" i="20"/>
  <c r="I230" i="20"/>
  <c r="F1306" i="8"/>
  <c r="F1311" i="8" s="1"/>
  <c r="F830" i="8"/>
  <c r="F834" i="8" s="1"/>
  <c r="F841" i="8" s="1"/>
  <c r="F232" i="8" s="1"/>
  <c r="F26" i="8" s="1"/>
  <c r="H555" i="8"/>
  <c r="H134" i="8" s="1"/>
  <c r="H132" i="8"/>
  <c r="I702" i="8"/>
  <c r="I703" i="8"/>
  <c r="I1280" i="8" s="1"/>
  <c r="M290" i="8"/>
  <c r="M1037" i="8"/>
  <c r="M1038" i="8"/>
  <c r="M1039" i="8"/>
  <c r="M1321" i="8" s="1"/>
  <c r="F158" i="8"/>
  <c r="F652" i="8"/>
  <c r="F1271" i="8" s="1"/>
  <c r="F653" i="8"/>
  <c r="F1272" i="8" s="1"/>
  <c r="N701" i="20"/>
  <c r="N1278" i="20" s="1"/>
  <c r="N182" i="20"/>
  <c r="K1159" i="20"/>
  <c r="K318" i="20" s="1"/>
  <c r="K316" i="20"/>
  <c r="P653" i="8"/>
  <c r="P1272" i="8" s="1"/>
  <c r="P652" i="8"/>
  <c r="P1271" i="8" s="1"/>
  <c r="P158" i="8"/>
  <c r="F102" i="20"/>
  <c r="F536" i="20"/>
  <c r="F104" i="20" s="1"/>
  <c r="Q1102" i="8"/>
  <c r="Q1083" i="8"/>
  <c r="I155" i="20"/>
  <c r="I650" i="20"/>
  <c r="P432" i="8"/>
  <c r="K701" i="20"/>
  <c r="K1278" i="20" s="1"/>
  <c r="K1294" i="20" s="1"/>
  <c r="K182" i="20"/>
  <c r="J1306" i="8"/>
  <c r="J830" i="8"/>
  <c r="Q824" i="8"/>
  <c r="Q544" i="20"/>
  <c r="H407" i="8"/>
  <c r="H1261" i="8"/>
  <c r="O1038" i="8"/>
  <c r="O1039" i="8"/>
  <c r="O290" i="8"/>
  <c r="O1037" i="8"/>
  <c r="Q137" i="8"/>
  <c r="C26" i="14" s="1"/>
  <c r="G849" i="20"/>
  <c r="Q847" i="20"/>
  <c r="G230" i="20"/>
  <c r="Q699" i="20"/>
  <c r="P650" i="20"/>
  <c r="P1270" i="20" s="1"/>
  <c r="P155" i="20"/>
  <c r="Q1120" i="8"/>
  <c r="F1107" i="8"/>
  <c r="Q1101" i="8"/>
  <c r="K1183" i="8"/>
  <c r="O1125" i="8"/>
  <c r="Q1149" i="20"/>
  <c r="K361" i="8"/>
  <c r="Q1115" i="20"/>
  <c r="O129" i="20"/>
  <c r="O553" i="20"/>
  <c r="O131" i="20" s="1"/>
  <c r="H230" i="20"/>
  <c r="H849" i="20"/>
  <c r="H1313" i="20" s="1"/>
  <c r="Q414" i="8"/>
  <c r="Q1084" i="8"/>
  <c r="H283" i="26" s="1"/>
  <c r="K283" i="26" s="1"/>
  <c r="Q1168" i="20"/>
  <c r="M436" i="8"/>
  <c r="M77" i="8" s="1"/>
  <c r="Q596" i="8"/>
  <c r="G296" i="2"/>
  <c r="G299" i="2"/>
  <c r="G302" i="2" s="1"/>
  <c r="O1036" i="20"/>
  <c r="O1319" i="20" s="1"/>
  <c r="O286" i="20"/>
  <c r="O1035" i="20"/>
  <c r="F1261" i="8"/>
  <c r="Q401" i="8"/>
  <c r="F407" i="8"/>
  <c r="G551" i="8"/>
  <c r="Q546" i="8"/>
  <c r="Q619" i="8"/>
  <c r="Q1234" i="20"/>
  <c r="Q304" i="8"/>
  <c r="C44" i="14" s="1"/>
  <c r="M650" i="20"/>
  <c r="M1270" i="20" s="1"/>
  <c r="M155" i="20"/>
  <c r="L849" i="20"/>
  <c r="L1313" i="20" s="1"/>
  <c r="L230" i="20"/>
  <c r="F534" i="8"/>
  <c r="Q529" i="8"/>
  <c r="P1107" i="8"/>
  <c r="K1261" i="8"/>
  <c r="Q134" i="20"/>
  <c r="I653" i="8"/>
  <c r="I1272" i="8" s="1"/>
  <c r="I652" i="8"/>
  <c r="I1271" i="8" s="1"/>
  <c r="I158" i="8"/>
  <c r="E1319" i="20"/>
  <c r="G258" i="20"/>
  <c r="G1008" i="20"/>
  <c r="G1007" i="20"/>
  <c r="Q1005" i="20"/>
  <c r="O296" i="2"/>
  <c r="O300" i="2"/>
  <c r="M407" i="8"/>
  <c r="M1261" i="8"/>
  <c r="Q318" i="8"/>
  <c r="C46" i="14" s="1"/>
  <c r="G1265" i="8"/>
  <c r="G417" i="8"/>
  <c r="J1320" i="8"/>
  <c r="I286" i="20"/>
  <c r="I1036" i="20"/>
  <c r="I1319" i="20" s="1"/>
  <c r="I1035" i="20"/>
  <c r="Q1119" i="8"/>
  <c r="G1125" i="8"/>
  <c r="J1287" i="8"/>
  <c r="Q1287" i="8" s="1"/>
  <c r="J790" i="8"/>
  <c r="N1265" i="8"/>
  <c r="N1299" i="8" s="1"/>
  <c r="N417" i="8"/>
  <c r="J838" i="20"/>
  <c r="J1307" i="20"/>
  <c r="J1327" i="20" s="1"/>
  <c r="Q894" i="8"/>
  <c r="F1320" i="8"/>
  <c r="Q411" i="20"/>
  <c r="Q399" i="20"/>
  <c r="Q527" i="20"/>
  <c r="F417" i="8"/>
  <c r="M1249" i="8"/>
  <c r="H849" i="8"/>
  <c r="H1314" i="8" s="1"/>
  <c r="H850" i="8"/>
  <c r="H235" i="8"/>
  <c r="P290" i="2"/>
  <c r="P534" i="8"/>
  <c r="P1261" i="8"/>
  <c r="M830" i="8"/>
  <c r="M834" i="8" s="1"/>
  <c r="M841" i="8" s="1"/>
  <c r="M232" i="8" s="1"/>
  <c r="M26" i="8" s="1"/>
  <c r="M1307" i="8"/>
  <c r="Q1307" i="8" s="1"/>
  <c r="O1279" i="8"/>
  <c r="O132" i="8"/>
  <c r="O555" i="8"/>
  <c r="O134" i="8" s="1"/>
  <c r="Q355" i="20"/>
  <c r="G549" i="20"/>
  <c r="M158" i="8"/>
  <c r="M652" i="8"/>
  <c r="M1271" i="8" s="1"/>
  <c r="M653" i="8"/>
  <c r="M1272" i="8" s="1"/>
  <c r="L235" i="8"/>
  <c r="L850" i="8"/>
  <c r="L849" i="8"/>
  <c r="N407" i="8"/>
  <c r="N1261" i="8"/>
  <c r="Q561" i="20"/>
  <c r="G566" i="20"/>
  <c r="Q242" i="8"/>
  <c r="C38" i="14" s="1"/>
  <c r="N414" i="20"/>
  <c r="G414" i="20"/>
  <c r="Q1213" i="8"/>
  <c r="Q1237" i="8"/>
  <c r="Q825" i="8"/>
  <c r="P1320" i="8"/>
  <c r="K702" i="8"/>
  <c r="K703" i="8"/>
  <c r="G263" i="8"/>
  <c r="G1009" i="8"/>
  <c r="G1010" i="8"/>
  <c r="G1011" i="8"/>
  <c r="Q1008" i="8"/>
  <c r="M1107" i="8"/>
  <c r="H1159" i="8"/>
  <c r="F146" i="2"/>
  <c r="F299" i="2"/>
  <c r="M1265" i="8"/>
  <c r="M1299" i="8" s="1"/>
  <c r="M417" i="8"/>
  <c r="Q1153" i="8"/>
  <c r="F74" i="26" s="1"/>
  <c r="G1159" i="8"/>
  <c r="I1249" i="8"/>
  <c r="H1265" i="8"/>
  <c r="H1299" i="8" s="1"/>
  <c r="N302" i="2"/>
  <c r="G536" i="20"/>
  <c r="G104" i="20" s="1"/>
  <c r="G102" i="20"/>
  <c r="Q66" i="8"/>
  <c r="C19" i="14" s="1"/>
  <c r="G568" i="8"/>
  <c r="Q563" i="8"/>
  <c r="G850" i="8"/>
  <c r="G235" i="8"/>
  <c r="Q848" i="8"/>
  <c r="G849" i="8"/>
  <c r="H300" i="2"/>
  <c r="H302" i="2" s="1"/>
  <c r="Q1116" i="20"/>
  <c r="I290" i="8"/>
  <c r="I1037" i="8"/>
  <c r="I1039" i="8"/>
  <c r="I1038" i="8"/>
  <c r="O1314" i="8"/>
  <c r="M954" i="8"/>
  <c r="P625" i="20"/>
  <c r="P152" i="20" s="1"/>
  <c r="P150" i="20"/>
  <c r="Q1036" i="8"/>
  <c r="Q893" i="20"/>
  <c r="F1319" i="20"/>
  <c r="N89" i="8"/>
  <c r="N487" i="8"/>
  <c r="N91" i="8" s="1"/>
  <c r="J1305" i="20"/>
  <c r="Q1305" i="20" s="1"/>
  <c r="Q824" i="20"/>
  <c r="Q314" i="20"/>
  <c r="Q1233" i="20"/>
  <c r="F56" i="23"/>
  <c r="L414" i="20"/>
  <c r="O1311" i="8"/>
  <c r="J414" i="20"/>
  <c r="Q1288" i="8"/>
  <c r="G487" i="8"/>
  <c r="G89" i="8"/>
  <c r="I96" i="8"/>
  <c r="I504" i="8"/>
  <c r="I98" i="8" s="1"/>
  <c r="E1230" i="8"/>
  <c r="E356" i="8" s="1"/>
  <c r="F553" i="20"/>
  <c r="F129" i="20"/>
  <c r="F771" i="8"/>
  <c r="E136" i="20"/>
  <c r="E570" i="20"/>
  <c r="H1292" i="8"/>
  <c r="H1330" i="8"/>
  <c r="H1311" i="8"/>
  <c r="I1329" i="8"/>
  <c r="J1329" i="8"/>
  <c r="F1329" i="8"/>
  <c r="P1329" i="8"/>
  <c r="N1329" i="8"/>
  <c r="M1329" i="8"/>
  <c r="F414" i="20"/>
  <c r="M24" i="23"/>
  <c r="P23" i="23"/>
  <c r="I536" i="20"/>
  <c r="I104" i="20" s="1"/>
  <c r="I102" i="20"/>
  <c r="Q430" i="8"/>
  <c r="G432" i="8"/>
  <c r="E429" i="20"/>
  <c r="Q424" i="20"/>
  <c r="G429" i="20"/>
  <c r="Q427" i="20"/>
  <c r="E532" i="20"/>
  <c r="Q530" i="20"/>
  <c r="F1107" i="20"/>
  <c r="F304" i="20" s="1"/>
  <c r="F302" i="20"/>
  <c r="I284" i="2"/>
  <c r="P282" i="2"/>
  <c r="P294" i="2" s="1"/>
  <c r="I1291" i="8"/>
  <c r="Q1291" i="8" s="1"/>
  <c r="Q797" i="8"/>
  <c r="P42" i="23"/>
  <c r="E1308" i="8"/>
  <c r="E830" i="8"/>
  <c r="Q707" i="20"/>
  <c r="G75" i="20"/>
  <c r="Q75" i="20" s="1"/>
  <c r="Q431" i="20"/>
  <c r="H97" i="26" s="1"/>
  <c r="E1052" i="8"/>
  <c r="K1265" i="20"/>
  <c r="K1299" i="20" s="1"/>
  <c r="K414" i="20"/>
  <c r="I203" i="8"/>
  <c r="I1290" i="8"/>
  <c r="Q792" i="8"/>
  <c r="F99" i="26" s="1"/>
  <c r="O1107" i="8"/>
  <c r="Q1105" i="8"/>
  <c r="E327" i="3"/>
  <c r="P321" i="3"/>
  <c r="E433" i="3"/>
  <c r="I432" i="8"/>
  <c r="Q74" i="8"/>
  <c r="D20" i="14" s="1"/>
  <c r="J715" i="8"/>
  <c r="Q709" i="8"/>
  <c r="Q1101" i="20"/>
  <c r="O1103" i="20"/>
  <c r="Q101" i="20"/>
  <c r="C83" i="22"/>
  <c r="E1265" i="20"/>
  <c r="Q413" i="20"/>
  <c r="J938" i="8"/>
  <c r="J935" i="20"/>
  <c r="P182" i="2"/>
  <c r="D15" i="26" s="1"/>
  <c r="G38" i="22"/>
  <c r="O38" i="22" s="1"/>
  <c r="Q201" i="8"/>
  <c r="D32" i="14" s="1"/>
  <c r="F32" i="14" s="1"/>
  <c r="I790" i="8"/>
  <c r="I1289" i="8"/>
  <c r="Q1289" i="8" s="1"/>
  <c r="Q788" i="8"/>
  <c r="H271" i="26" s="1"/>
  <c r="H272" i="26" s="1"/>
  <c r="E1310" i="8"/>
  <c r="E1330" i="8" s="1"/>
  <c r="E839" i="8"/>
  <c r="G76" i="8"/>
  <c r="Q434" i="8"/>
  <c r="H954" i="8"/>
  <c r="J316" i="20"/>
  <c r="J1159" i="20"/>
  <c r="H1024" i="8"/>
  <c r="F1040" i="20"/>
  <c r="P324" i="3"/>
  <c r="F1043" i="8"/>
  <c r="P713" i="8"/>
  <c r="G979" i="8"/>
  <c r="Q1260" i="20"/>
  <c r="J411" i="8"/>
  <c r="J419" i="8" s="1"/>
  <c r="J70" i="8" s="1"/>
  <c r="J68" i="8"/>
  <c r="J264" i="8"/>
  <c r="L1310" i="8"/>
  <c r="L839" i="8"/>
  <c r="Q838" i="8"/>
  <c r="Q1263" i="20"/>
  <c r="H1297" i="20"/>
  <c r="Q1297" i="20" s="1"/>
  <c r="L1294" i="20"/>
  <c r="L1308" i="8"/>
  <c r="L830" i="8"/>
  <c r="Q828" i="8"/>
  <c r="M1052" i="8"/>
  <c r="O1215" i="20"/>
  <c r="K666" i="8"/>
  <c r="K1273" i="8" s="1"/>
  <c r="Q665" i="8"/>
  <c r="L159" i="8"/>
  <c r="J36" i="22" s="1"/>
  <c r="L670" i="8"/>
  <c r="L1274" i="8" s="1"/>
  <c r="L675" i="8"/>
  <c r="L1275" i="8" s="1"/>
  <c r="K156" i="20"/>
  <c r="I84" i="22" s="1"/>
  <c r="K667" i="20"/>
  <c r="K672" i="20"/>
  <c r="K1273" i="20" s="1"/>
  <c r="M156" i="20"/>
  <c r="K84" i="22" s="1"/>
  <c r="M672" i="20"/>
  <c r="M1273" i="20" s="1"/>
  <c r="M667" i="20"/>
  <c r="O1219" i="8"/>
  <c r="O1223" i="8"/>
  <c r="L672" i="20"/>
  <c r="L1273" i="20" s="1"/>
  <c r="L156" i="20"/>
  <c r="J84" i="22" s="1"/>
  <c r="L667" i="20"/>
  <c r="J672" i="20"/>
  <c r="J156" i="20"/>
  <c r="H84" i="22" s="1"/>
  <c r="J667" i="20"/>
  <c r="L666" i="8"/>
  <c r="L1273" i="8" s="1"/>
  <c r="P937" i="20" l="1"/>
  <c r="H76" i="26"/>
  <c r="D211" i="26"/>
  <c r="G211" i="26" s="1"/>
  <c r="P939" i="8"/>
  <c r="P249" i="8"/>
  <c r="P941" i="8"/>
  <c r="P1315" i="8" s="1"/>
  <c r="P1327" i="8" s="1"/>
  <c r="P940" i="8"/>
  <c r="N75" i="8"/>
  <c r="F61" i="26"/>
  <c r="H158" i="26" s="1"/>
  <c r="Q76" i="8"/>
  <c r="H105" i="26"/>
  <c r="H107" i="26" s="1"/>
  <c r="H111" i="26"/>
  <c r="H113" i="26" s="1"/>
  <c r="H74" i="26"/>
  <c r="G74" i="26" s="1"/>
  <c r="I74" i="26" s="1"/>
  <c r="P363" i="8"/>
  <c r="G279" i="26"/>
  <c r="F75" i="26"/>
  <c r="G235" i="26" s="1"/>
  <c r="E361" i="8"/>
  <c r="E1253" i="8"/>
  <c r="E363" i="8" s="1"/>
  <c r="F119" i="26"/>
  <c r="G119" i="26" s="1"/>
  <c r="I119" i="26" s="1"/>
  <c r="E436" i="8"/>
  <c r="E77" i="8" s="1"/>
  <c r="F57" i="26"/>
  <c r="F60" i="26"/>
  <c r="F117" i="26"/>
  <c r="E147" i="26" s="1"/>
  <c r="E150" i="26" s="1"/>
  <c r="I151" i="26" s="1"/>
  <c r="H188" i="26"/>
  <c r="J188" i="26" s="1"/>
  <c r="F73" i="26"/>
  <c r="G234" i="26" s="1"/>
  <c r="F72" i="26"/>
  <c r="G233" i="26" s="1"/>
  <c r="H286" i="26"/>
  <c r="H287" i="26" s="1"/>
  <c r="F71" i="26"/>
  <c r="I158" i="26" s="1"/>
  <c r="Q245" i="20"/>
  <c r="H73" i="26"/>
  <c r="H75" i="26"/>
  <c r="H72" i="26"/>
  <c r="G99" i="26"/>
  <c r="I99" i="26" s="1"/>
  <c r="C20" i="28"/>
  <c r="E20" i="28" s="1"/>
  <c r="E19" i="28"/>
  <c r="C21" i="28"/>
  <c r="E21" i="28" s="1"/>
  <c r="C34" i="28"/>
  <c r="E34" i="28" s="1"/>
  <c r="C37" i="28"/>
  <c r="C23" i="28"/>
  <c r="C36" i="28"/>
  <c r="E36" i="28" s="1"/>
  <c r="C22" i="28"/>
  <c r="E22" i="28" s="1"/>
  <c r="C35" i="28"/>
  <c r="E35" i="28" s="1"/>
  <c r="C33" i="28"/>
  <c r="E218" i="28"/>
  <c r="F97" i="26"/>
  <c r="G97" i="26" s="1"/>
  <c r="I97" i="26" s="1"/>
  <c r="G263" i="26"/>
  <c r="G1274" i="8"/>
  <c r="A277" i="2"/>
  <c r="A278" i="2" s="1"/>
  <c r="A280" i="2" s="1"/>
  <c r="A281" i="2" s="1"/>
  <c r="A282" i="2" s="1"/>
  <c r="A283" i="2" s="1"/>
  <c r="A284" i="2" s="1"/>
  <c r="A286" i="2" s="1"/>
  <c r="A287" i="2" s="1"/>
  <c r="A288" i="2" s="1"/>
  <c r="A289" i="2" s="1"/>
  <c r="A290" i="2" s="1"/>
  <c r="A292" i="2" s="1"/>
  <c r="A293" i="2" s="1"/>
  <c r="A294" i="2" s="1"/>
  <c r="A295" i="2" s="1"/>
  <c r="A296" i="2" s="1"/>
  <c r="A298" i="2" s="1"/>
  <c r="A299" i="2" s="1"/>
  <c r="A300" i="2" s="1"/>
  <c r="A301" i="2" s="1"/>
  <c r="A302" i="2" s="1"/>
  <c r="N1282" i="8"/>
  <c r="F62" i="26"/>
  <c r="G179" i="26" s="1"/>
  <c r="Q186" i="8"/>
  <c r="C30" i="14" s="1"/>
  <c r="K725" i="8"/>
  <c r="K1283" i="8" s="1"/>
  <c r="K187" i="8"/>
  <c r="I37" i="22" s="1"/>
  <c r="L725" i="8"/>
  <c r="L1283" i="8" s="1"/>
  <c r="L187" i="8"/>
  <c r="J37" i="22" s="1"/>
  <c r="J39" i="22" s="1"/>
  <c r="G771" i="8"/>
  <c r="G776" i="8" s="1"/>
  <c r="G197" i="8" s="1"/>
  <c r="Q1247" i="8"/>
  <c r="F76" i="26" s="1"/>
  <c r="Q69" i="8"/>
  <c r="F68" i="26"/>
  <c r="G207" i="26" s="1"/>
  <c r="F67" i="26"/>
  <c r="G182" i="26" s="1"/>
  <c r="E1294" i="20"/>
  <c r="A35" i="2"/>
  <c r="A36" i="2" s="1"/>
  <c r="A37" i="2" s="1"/>
  <c r="A39" i="2" s="1"/>
  <c r="A40" i="2" s="1"/>
  <c r="A41" i="2" s="1"/>
  <c r="A42" i="2" s="1"/>
  <c r="A44" i="2" s="1"/>
  <c r="A45" i="2" s="1"/>
  <c r="A46" i="2" s="1"/>
  <c r="A47" i="2" s="1"/>
  <c r="A49" i="2" s="1"/>
  <c r="A50" i="2" s="1"/>
  <c r="A51" i="2" s="1"/>
  <c r="A52" i="2" s="1"/>
  <c r="A68" i="2" s="1"/>
  <c r="A69" i="2" s="1"/>
  <c r="A70" i="2" s="1"/>
  <c r="A72" i="2" s="1"/>
  <c r="A73" i="2" s="1"/>
  <c r="A74" i="2" s="1"/>
  <c r="A75" i="2" s="1"/>
  <c r="A77" i="2" s="1"/>
  <c r="M300" i="2"/>
  <c r="M302" i="2" s="1"/>
  <c r="K302" i="2"/>
  <c r="J502" i="20"/>
  <c r="J97" i="20" s="1"/>
  <c r="J1030" i="8"/>
  <c r="J267" i="8" s="1"/>
  <c r="K357" i="20"/>
  <c r="G357" i="20"/>
  <c r="G146" i="8"/>
  <c r="J1253" i="8"/>
  <c r="J363" i="8" s="1"/>
  <c r="F64" i="26"/>
  <c r="G95" i="26"/>
  <c r="H282" i="26"/>
  <c r="F111" i="26"/>
  <c r="F113" i="26" s="1"/>
  <c r="F105" i="26"/>
  <c r="G176" i="26" s="1"/>
  <c r="H191" i="26"/>
  <c r="H267" i="26"/>
  <c r="F70" i="26"/>
  <c r="G184" i="26" s="1"/>
  <c r="F63" i="26"/>
  <c r="I63" i="26" s="1"/>
  <c r="G98" i="26"/>
  <c r="I98" i="26" s="1"/>
  <c r="F66" i="26"/>
  <c r="G178" i="26" s="1"/>
  <c r="F65" i="26"/>
  <c r="G174" i="26"/>
  <c r="H187" i="26"/>
  <c r="H357" i="20"/>
  <c r="G625" i="20"/>
  <c r="G152" i="20" s="1"/>
  <c r="E357" i="20"/>
  <c r="N357" i="20"/>
  <c r="O1249" i="20"/>
  <c r="O359" i="20" s="1"/>
  <c r="L1249" i="20"/>
  <c r="L359" i="20" s="1"/>
  <c r="J1249" i="20"/>
  <c r="J359" i="20" s="1"/>
  <c r="P357" i="20"/>
  <c r="M309" i="20"/>
  <c r="H68" i="26"/>
  <c r="N1183" i="20"/>
  <c r="N325" i="20" s="1"/>
  <c r="E502" i="20"/>
  <c r="E97" i="20" s="1"/>
  <c r="N302" i="20"/>
  <c r="H64" i="26"/>
  <c r="H63" i="26"/>
  <c r="H70" i="26"/>
  <c r="H66" i="26"/>
  <c r="H67" i="26"/>
  <c r="H69" i="26"/>
  <c r="J609" i="20"/>
  <c r="J145" i="20" s="1"/>
  <c r="H65" i="26"/>
  <c r="N609" i="20"/>
  <c r="N145" i="20" s="1"/>
  <c r="H62" i="26"/>
  <c r="K1125" i="20"/>
  <c r="K311" i="20" s="1"/>
  <c r="F1125" i="20"/>
  <c r="F311" i="20" s="1"/>
  <c r="Q1035" i="20"/>
  <c r="Q771" i="20"/>
  <c r="Q1007" i="20"/>
  <c r="Q414" i="20"/>
  <c r="D59" i="26"/>
  <c r="D239" i="26"/>
  <c r="D58" i="26"/>
  <c r="D210" i="26"/>
  <c r="D212" i="26" s="1"/>
  <c r="G212" i="26" s="1"/>
  <c r="D42" i="26"/>
  <c r="F1313" i="20"/>
  <c r="F1325" i="20" s="1"/>
  <c r="P1313" i="20"/>
  <c r="P1325" i="20" s="1"/>
  <c r="P1183" i="20"/>
  <c r="P325" i="20" s="1"/>
  <c r="F1253" i="8"/>
  <c r="F363" i="8" s="1"/>
  <c r="L411" i="8"/>
  <c r="L419" i="8" s="1"/>
  <c r="L70" i="8" s="1"/>
  <c r="N611" i="8"/>
  <c r="N148" i="8" s="1"/>
  <c r="E82" i="8"/>
  <c r="N954" i="8"/>
  <c r="N251" i="8" s="1"/>
  <c r="E139" i="8"/>
  <c r="E419" i="8"/>
  <c r="E70" i="8" s="1"/>
  <c r="O487" i="8"/>
  <c r="O91" i="8" s="1"/>
  <c r="J572" i="8"/>
  <c r="J141" i="8" s="1"/>
  <c r="I195" i="8"/>
  <c r="N1314" i="8"/>
  <c r="N1326" i="8" s="1"/>
  <c r="J1311" i="8"/>
  <c r="H230" i="8"/>
  <c r="E1296" i="8"/>
  <c r="Q707" i="8"/>
  <c r="G181" i="3"/>
  <c r="C459" i="3"/>
  <c r="F323" i="20"/>
  <c r="G81" i="20"/>
  <c r="F74" i="20"/>
  <c r="Q203" i="8"/>
  <c r="N485" i="20"/>
  <c r="N90" i="20" s="1"/>
  <c r="L914" i="8"/>
  <c r="L246" i="8" s="1"/>
  <c r="G88" i="20"/>
  <c r="N1311" i="8"/>
  <c r="F146" i="8"/>
  <c r="M129" i="20"/>
  <c r="P1311" i="8"/>
  <c r="P487" i="8"/>
  <c r="P91" i="8" s="1"/>
  <c r="I1107" i="20"/>
  <c r="I304" i="20" s="1"/>
  <c r="J436" i="8"/>
  <c r="J77" i="8" s="1"/>
  <c r="P102" i="20"/>
  <c r="E1187" i="8"/>
  <c r="E329" i="8" s="1"/>
  <c r="J487" i="8"/>
  <c r="J91" i="8" s="1"/>
  <c r="I841" i="8"/>
  <c r="I232" i="8" s="1"/>
  <c r="I26" i="8" s="1"/>
  <c r="I470" i="8"/>
  <c r="I84" i="8" s="1"/>
  <c r="F139" i="8"/>
  <c r="M143" i="20"/>
  <c r="H323" i="20"/>
  <c r="M139" i="8"/>
  <c r="J536" i="20"/>
  <c r="J104" i="20" s="1"/>
  <c r="H436" i="8"/>
  <c r="H77" i="8" s="1"/>
  <c r="H553" i="20"/>
  <c r="H131" i="20" s="1"/>
  <c r="O536" i="20"/>
  <c r="O104" i="20" s="1"/>
  <c r="K150" i="20"/>
  <c r="O628" i="8"/>
  <c r="O155" i="8" s="1"/>
  <c r="P841" i="8"/>
  <c r="P232" i="8" s="1"/>
  <c r="P26" i="8" s="1"/>
  <c r="I153" i="8"/>
  <c r="M470" i="8"/>
  <c r="M84" i="8" s="1"/>
  <c r="E611" i="8"/>
  <c r="E148" i="8" s="1"/>
  <c r="I776" i="8"/>
  <c r="I197" i="8" s="1"/>
  <c r="H470" i="8"/>
  <c r="H84" i="8" s="1"/>
  <c r="G470" i="8"/>
  <c r="G84" i="8" s="1"/>
  <c r="H309" i="20"/>
  <c r="I87" i="22"/>
  <c r="N129" i="20"/>
  <c r="K102" i="20"/>
  <c r="H914" i="8"/>
  <c r="H246" i="8" s="1"/>
  <c r="N327" i="8"/>
  <c r="L502" i="20"/>
  <c r="L97" i="20" s="1"/>
  <c r="N1093" i="8"/>
  <c r="N301" i="8" s="1"/>
  <c r="K487" i="8"/>
  <c r="K91" i="8" s="1"/>
  <c r="P195" i="8"/>
  <c r="H74" i="20"/>
  <c r="I570" i="20"/>
  <c r="I138" i="20" s="1"/>
  <c r="J555" i="8"/>
  <c r="J134" i="8" s="1"/>
  <c r="P794" i="8"/>
  <c r="P799" i="8" s="1"/>
  <c r="P204" i="8" s="1"/>
  <c r="P22" i="8" s="1"/>
  <c r="E609" i="20"/>
  <c r="E145" i="20" s="1"/>
  <c r="N794" i="8"/>
  <c r="N799" i="8" s="1"/>
  <c r="N204" i="8" s="1"/>
  <c r="L21" i="22" s="1"/>
  <c r="F75" i="8"/>
  <c r="K720" i="8"/>
  <c r="K1282" i="8" s="1"/>
  <c r="P1107" i="20"/>
  <c r="P304" i="20" s="1"/>
  <c r="G1272" i="20"/>
  <c r="N230" i="8"/>
  <c r="L82" i="8"/>
  <c r="F609" i="20"/>
  <c r="F145" i="20" s="1"/>
  <c r="I468" i="20"/>
  <c r="I83" i="20" s="1"/>
  <c r="K723" i="20"/>
  <c r="K1281" i="20" s="1"/>
  <c r="K1298" i="20" s="1"/>
  <c r="K718" i="20"/>
  <c r="K1280" i="20" s="1"/>
  <c r="N914" i="8"/>
  <c r="N246" i="8" s="1"/>
  <c r="G1107" i="20"/>
  <c r="G304" i="20" s="1"/>
  <c r="P553" i="20"/>
  <c r="P131" i="20" s="1"/>
  <c r="N150" i="20"/>
  <c r="E153" i="8"/>
  <c r="I555" i="8"/>
  <c r="I134" i="8" s="1"/>
  <c r="N1280" i="20"/>
  <c r="P628" i="8"/>
  <c r="P155" i="8" s="1"/>
  <c r="I538" i="8"/>
  <c r="I105" i="8" s="1"/>
  <c r="N1298" i="20"/>
  <c r="K419" i="8"/>
  <c r="K70" i="8" s="1"/>
  <c r="P96" i="8"/>
  <c r="J146" i="8"/>
  <c r="J1322" i="8"/>
  <c r="J1323" i="8" s="1"/>
  <c r="K132" i="8"/>
  <c r="L136" i="20"/>
  <c r="M914" i="8"/>
  <c r="M246" i="8" s="1"/>
  <c r="P82" i="8"/>
  <c r="E776" i="8"/>
  <c r="E197" i="8" s="1"/>
  <c r="F485" i="20"/>
  <c r="F90" i="20" s="1"/>
  <c r="P776" i="8"/>
  <c r="P197" i="8" s="1"/>
  <c r="M159" i="8"/>
  <c r="K36" i="22" s="1"/>
  <c r="F1363" i="8"/>
  <c r="F1364" i="8" s="1"/>
  <c r="L625" i="20"/>
  <c r="L152" i="20" s="1"/>
  <c r="H570" i="20"/>
  <c r="H138" i="20" s="1"/>
  <c r="K675" i="8"/>
  <c r="K1275" i="8" s="1"/>
  <c r="L794" i="8"/>
  <c r="L799" i="8" s="1"/>
  <c r="L204" i="8" s="1"/>
  <c r="L22" i="8" s="1"/>
  <c r="L139" i="8"/>
  <c r="K74" i="20"/>
  <c r="L37" i="22"/>
  <c r="M675" i="8"/>
  <c r="M1275" i="8" s="1"/>
  <c r="J129" i="20"/>
  <c r="Q566" i="20"/>
  <c r="M302" i="20"/>
  <c r="K306" i="8"/>
  <c r="N81" i="20"/>
  <c r="O143" i="20"/>
  <c r="N502" i="20"/>
  <c r="N97" i="20" s="1"/>
  <c r="G1281" i="20"/>
  <c r="G1298" i="20" s="1"/>
  <c r="G538" i="8"/>
  <c r="G105" i="8" s="1"/>
  <c r="K771" i="8"/>
  <c r="K776" i="8" s="1"/>
  <c r="K197" i="8" s="1"/>
  <c r="M1187" i="8"/>
  <c r="M329" i="8" s="1"/>
  <c r="O136" i="20"/>
  <c r="H723" i="20"/>
  <c r="H1281" i="20" s="1"/>
  <c r="H1298" i="20" s="1"/>
  <c r="H183" i="20"/>
  <c r="F85" i="22" s="1"/>
  <c r="M195" i="8"/>
  <c r="G183" i="20"/>
  <c r="E85" i="22" s="1"/>
  <c r="E87" i="22" s="1"/>
  <c r="G718" i="20"/>
  <c r="G1280" i="20" s="1"/>
  <c r="O1268" i="8"/>
  <c r="F327" i="8"/>
  <c r="N628" i="8"/>
  <c r="N155" i="8" s="1"/>
  <c r="Q624" i="8"/>
  <c r="I95" i="20"/>
  <c r="K611" i="8"/>
  <c r="K148" i="8" s="1"/>
  <c r="P81" i="20"/>
  <c r="L85" i="22"/>
  <c r="L87" i="22" s="1"/>
  <c r="G794" i="8"/>
  <c r="G799" i="8" s="1"/>
  <c r="G204" i="8" s="1"/>
  <c r="G22" i="8" s="1"/>
  <c r="O611" i="8"/>
  <c r="O148" i="8" s="1"/>
  <c r="N985" i="8"/>
  <c r="N260" i="8" s="1"/>
  <c r="K436" i="8"/>
  <c r="K77" i="8" s="1"/>
  <c r="L143" i="20"/>
  <c r="Q549" i="20"/>
  <c r="P146" i="8"/>
  <c r="L433" i="20"/>
  <c r="L76" i="20" s="1"/>
  <c r="K468" i="20"/>
  <c r="K83" i="20" s="1"/>
  <c r="Q481" i="20"/>
  <c r="M502" i="20"/>
  <c r="M97" i="20" s="1"/>
  <c r="E313" i="8"/>
  <c r="J776" i="8"/>
  <c r="J197" i="8" s="1"/>
  <c r="L504" i="8"/>
  <c r="L98" i="8" s="1"/>
  <c r="Q82" i="20"/>
  <c r="L723" i="20"/>
  <c r="L1281" i="20" s="1"/>
  <c r="L1298" i="20" s="1"/>
  <c r="H89" i="8"/>
  <c r="Q89" i="8" s="1"/>
  <c r="O776" i="8"/>
  <c r="O197" i="8" s="1"/>
  <c r="L718" i="8"/>
  <c r="G1253" i="8"/>
  <c r="G363" i="8" s="1"/>
  <c r="O675" i="8"/>
  <c r="O1275" i="8" s="1"/>
  <c r="Q1218" i="8"/>
  <c r="N1297" i="8"/>
  <c r="J710" i="8"/>
  <c r="K299" i="8"/>
  <c r="L195" i="8"/>
  <c r="N132" i="8"/>
  <c r="I611" i="8"/>
  <c r="I148" i="8" s="1"/>
  <c r="P914" i="8"/>
  <c r="P246" i="8" s="1"/>
  <c r="F81" i="20"/>
  <c r="J625" i="20"/>
  <c r="J152" i="20" s="1"/>
  <c r="L776" i="8"/>
  <c r="L197" i="8" s="1"/>
  <c r="F132" i="8"/>
  <c r="O670" i="8"/>
  <c r="O1274" i="8" s="1"/>
  <c r="P609" i="20"/>
  <c r="P145" i="20" s="1"/>
  <c r="L327" i="8"/>
  <c r="N139" i="8"/>
  <c r="M1363" i="8"/>
  <c r="M1364" i="8" s="1"/>
  <c r="Q190" i="20"/>
  <c r="Q199" i="20"/>
  <c r="Q1262" i="20"/>
  <c r="Q1264" i="8"/>
  <c r="O195" i="8"/>
  <c r="Q664" i="8"/>
  <c r="K159" i="8"/>
  <c r="I36" i="22" s="1"/>
  <c r="L323" i="20"/>
  <c r="P327" i="3"/>
  <c r="O230" i="8"/>
  <c r="L183" i="20"/>
  <c r="J85" i="22" s="1"/>
  <c r="J87" i="22" s="1"/>
  <c r="E22" i="8"/>
  <c r="J244" i="8"/>
  <c r="K1363" i="8"/>
  <c r="K1364" i="8" s="1"/>
  <c r="K609" i="20"/>
  <c r="K145" i="20" s="1"/>
  <c r="E202" i="8"/>
  <c r="K89" i="22"/>
  <c r="Q68" i="20"/>
  <c r="I258" i="8"/>
  <c r="M776" i="8"/>
  <c r="M197" i="8" s="1"/>
  <c r="H139" i="8"/>
  <c r="H718" i="8"/>
  <c r="L436" i="8"/>
  <c r="L77" i="8" s="1"/>
  <c r="L720" i="8"/>
  <c r="F470" i="8"/>
  <c r="F84" i="8" s="1"/>
  <c r="P710" i="8"/>
  <c r="M794" i="8"/>
  <c r="M799" i="8" s="1"/>
  <c r="M204" i="8" s="1"/>
  <c r="K21" i="22" s="1"/>
  <c r="H1183" i="8"/>
  <c r="H1187" i="8" s="1"/>
  <c r="H329" i="8" s="1"/>
  <c r="I143" i="20"/>
  <c r="H88" i="20"/>
  <c r="L487" i="8"/>
  <c r="L91" i="8" s="1"/>
  <c r="J675" i="8"/>
  <c r="J1275" i="8" s="1"/>
  <c r="Q466" i="8"/>
  <c r="Q621" i="20"/>
  <c r="Q1288" i="20"/>
  <c r="J670" i="8"/>
  <c r="J1274" i="8" s="1"/>
  <c r="N438" i="3"/>
  <c r="N439" i="3" s="1"/>
  <c r="G1187" i="8"/>
  <c r="G329" i="8" s="1"/>
  <c r="H180" i="3"/>
  <c r="H181" i="3" s="1"/>
  <c r="L180" i="3"/>
  <c r="L181" i="3" s="1"/>
  <c r="N668" i="8"/>
  <c r="Q194" i="8"/>
  <c r="D31" i="14" s="1"/>
  <c r="F31" i="14" s="1"/>
  <c r="G1297" i="8"/>
  <c r="Q952" i="8"/>
  <c r="P183" i="20"/>
  <c r="N85" i="22" s="1"/>
  <c r="P718" i="20"/>
  <c r="P1280" i="20" s="1"/>
  <c r="P723" i="20"/>
  <c r="P1281" i="20" s="1"/>
  <c r="I244" i="8"/>
  <c r="I914" i="8"/>
  <c r="I246" i="8" s="1"/>
  <c r="Q1013" i="20"/>
  <c r="G89" i="22"/>
  <c r="F35" i="22"/>
  <c r="O35" i="22" s="1"/>
  <c r="Q908" i="8"/>
  <c r="E910" i="8"/>
  <c r="L185" i="20"/>
  <c r="L1280" i="20"/>
  <c r="Q483" i="8"/>
  <c r="H302" i="20"/>
  <c r="G244" i="8"/>
  <c r="J981" i="8"/>
  <c r="J985" i="8" s="1"/>
  <c r="J260" i="8" s="1"/>
  <c r="H1111" i="8"/>
  <c r="H308" i="8" s="1"/>
  <c r="P307" i="3"/>
  <c r="P391" i="3"/>
  <c r="I1322" i="8"/>
  <c r="Q660" i="8"/>
  <c r="H605" i="20"/>
  <c r="Q605" i="8"/>
  <c r="F69" i="26" s="1"/>
  <c r="G183" i="26" s="1"/>
  <c r="H607" i="8"/>
  <c r="H1263" i="8"/>
  <c r="I1363" i="8" s="1"/>
  <c r="I1364" i="8" s="1"/>
  <c r="O158" i="20"/>
  <c r="O1272" i="20"/>
  <c r="P179" i="3"/>
  <c r="D444" i="3"/>
  <c r="P444" i="3" s="1"/>
  <c r="F628" i="8"/>
  <c r="F155" i="8" s="1"/>
  <c r="F153" i="8"/>
  <c r="F675" i="8"/>
  <c r="F1275" i="8" s="1"/>
  <c r="F159" i="8"/>
  <c r="D36" i="22" s="1"/>
  <c r="F670" i="8"/>
  <c r="F1274" i="8" s="1"/>
  <c r="F83" i="22"/>
  <c r="O83" i="22" s="1"/>
  <c r="M625" i="20"/>
  <c r="M152" i="20" s="1"/>
  <c r="P428" i="3"/>
  <c r="L438" i="3"/>
  <c r="L439" i="3" s="1"/>
  <c r="H720" i="8"/>
  <c r="H725" i="8"/>
  <c r="H1283" i="8" s="1"/>
  <c r="F37" i="22"/>
  <c r="Q774" i="8"/>
  <c r="E37" i="22"/>
  <c r="E39" i="22" s="1"/>
  <c r="G725" i="8"/>
  <c r="G720" i="8"/>
  <c r="F158" i="20"/>
  <c r="F1272" i="20"/>
  <c r="Q863" i="8"/>
  <c r="H185" i="20"/>
  <c r="F76" i="22" s="1"/>
  <c r="H1280" i="20"/>
  <c r="H1296" i="20" s="1"/>
  <c r="H776" i="8"/>
  <c r="H197" i="8" s="1"/>
  <c r="K251" i="8"/>
  <c r="I251" i="8"/>
  <c r="O865" i="8"/>
  <c r="O237" i="8" s="1"/>
  <c r="I1313" i="20"/>
  <c r="I1325" i="20" s="1"/>
  <c r="L316" i="20"/>
  <c r="E323" i="20"/>
  <c r="H1296" i="8"/>
  <c r="O1187" i="8"/>
  <c r="O329" i="8" s="1"/>
  <c r="P1294" i="20"/>
  <c r="J195" i="8"/>
  <c r="O1296" i="8"/>
  <c r="K1311" i="8"/>
  <c r="I419" i="8"/>
  <c r="I70" i="8" s="1"/>
  <c r="O1020" i="8"/>
  <c r="O1024" i="8" s="1"/>
  <c r="O1026" i="8" s="1"/>
  <c r="O1018" i="8"/>
  <c r="O264" i="8" s="1"/>
  <c r="O429" i="3"/>
  <c r="O438" i="3"/>
  <c r="O439" i="3" s="1"/>
  <c r="F708" i="20"/>
  <c r="Q704" i="20"/>
  <c r="D171" i="3"/>
  <c r="F252" i="20"/>
  <c r="Q970" i="20"/>
  <c r="P1215" i="20"/>
  <c r="P349" i="20" s="1"/>
  <c r="N89" i="22" s="1"/>
  <c r="I672" i="20"/>
  <c r="I1273" i="20" s="1"/>
  <c r="I156" i="20"/>
  <c r="G84" i="22" s="1"/>
  <c r="I667" i="20"/>
  <c r="G1219" i="8"/>
  <c r="G353" i="8" s="1"/>
  <c r="G1221" i="8"/>
  <c r="Q1216" i="8"/>
  <c r="H1043" i="20"/>
  <c r="H287" i="20" s="1"/>
  <c r="F89" i="22" s="1"/>
  <c r="Q1042" i="20"/>
  <c r="F1215" i="20"/>
  <c r="F349" i="20" s="1"/>
  <c r="E672" i="20"/>
  <c r="E1273" i="20" s="1"/>
  <c r="E156" i="20"/>
  <c r="C84" i="22" s="1"/>
  <c r="E667" i="20"/>
  <c r="D180" i="3"/>
  <c r="P274" i="3"/>
  <c r="C166" i="28" s="1"/>
  <c r="N1215" i="20"/>
  <c r="N349" i="20" s="1"/>
  <c r="L89" i="22" s="1"/>
  <c r="L1048" i="8"/>
  <c r="L1052" i="8" s="1"/>
  <c r="L1322" i="8" s="1"/>
  <c r="L1046" i="8"/>
  <c r="L291" i="8" s="1"/>
  <c r="K1015" i="20"/>
  <c r="K259" i="20" s="1"/>
  <c r="I89" i="22" s="1"/>
  <c r="Q1011" i="20"/>
  <c r="Q663" i="8"/>
  <c r="E668" i="8"/>
  <c r="L1223" i="8"/>
  <c r="L1224" i="8" s="1"/>
  <c r="L1226" i="8" s="1"/>
  <c r="L1230" i="8" s="1"/>
  <c r="L356" i="8" s="1"/>
  <c r="L1219" i="8"/>
  <c r="L353" i="8" s="1"/>
  <c r="N158" i="20"/>
  <c r="L76" i="22" s="1"/>
  <c r="N1272" i="20"/>
  <c r="O1050" i="8"/>
  <c r="O1046" i="8"/>
  <c r="O291" i="8" s="1"/>
  <c r="Q1044" i="8"/>
  <c r="F712" i="8"/>
  <c r="F716" i="8" s="1"/>
  <c r="F710" i="8"/>
  <c r="F187" i="8" s="1"/>
  <c r="Q706" i="8"/>
  <c r="I1022" i="8"/>
  <c r="I1024" i="8" s="1"/>
  <c r="I1316" i="8" s="1"/>
  <c r="I1018" i="8"/>
  <c r="I264" i="8" s="1"/>
  <c r="G41" i="22" s="1"/>
  <c r="M183" i="20"/>
  <c r="K85" i="22" s="1"/>
  <c r="K87" i="22" s="1"/>
  <c r="M718" i="20"/>
  <c r="M723" i="20"/>
  <c r="M1281" i="20" s="1"/>
  <c r="M1298" i="20" s="1"/>
  <c r="D29" i="23"/>
  <c r="P129" i="3"/>
  <c r="C65" i="28" s="1"/>
  <c r="J1221" i="8"/>
  <c r="J1224" i="8" s="1"/>
  <c r="J1219" i="8"/>
  <c r="J353" i="8" s="1"/>
  <c r="H41" i="22" s="1"/>
  <c r="F438" i="3"/>
  <c r="F429" i="3"/>
  <c r="P1221" i="8"/>
  <c r="P1224" i="8" s="1"/>
  <c r="P1226" i="8" s="1"/>
  <c r="P1230" i="8" s="1"/>
  <c r="P356" i="8" s="1"/>
  <c r="P1219" i="8"/>
  <c r="P353" i="8" s="1"/>
  <c r="H1046" i="8"/>
  <c r="H291" i="8" s="1"/>
  <c r="H1051" i="8"/>
  <c r="Q1045" i="8"/>
  <c r="F1223" i="8"/>
  <c r="F1224" i="8" s="1"/>
  <c r="F1226" i="8" s="1"/>
  <c r="F1230" i="8" s="1"/>
  <c r="F356" i="8" s="1"/>
  <c r="F1219" i="8"/>
  <c r="F353" i="8" s="1"/>
  <c r="Q1012" i="20"/>
  <c r="E1015" i="20"/>
  <c r="I429" i="3"/>
  <c r="I438" i="3"/>
  <c r="I439" i="3" s="1"/>
  <c r="M257" i="8"/>
  <c r="K41" i="22" s="1"/>
  <c r="M976" i="8"/>
  <c r="M979" i="8" s="1"/>
  <c r="M981" i="8" s="1"/>
  <c r="M258" i="8" s="1"/>
  <c r="E171" i="3"/>
  <c r="E180" i="3"/>
  <c r="E181" i="3" s="1"/>
  <c r="I666" i="8"/>
  <c r="I1273" i="8" s="1"/>
  <c r="Q662" i="8"/>
  <c r="K1020" i="8"/>
  <c r="K1018" i="8"/>
  <c r="K264" i="8" s="1"/>
  <c r="Q1014" i="8"/>
  <c r="H257" i="8"/>
  <c r="H976" i="8"/>
  <c r="H979" i="8" s="1"/>
  <c r="M1316" i="8"/>
  <c r="G1048" i="8"/>
  <c r="G1046" i="8"/>
  <c r="G291" i="8" s="1"/>
  <c r="Q1042" i="8"/>
  <c r="F1023" i="8"/>
  <c r="F1018" i="8"/>
  <c r="F264" i="8" s="1"/>
  <c r="Q1017" i="8"/>
  <c r="E218" i="26" s="1"/>
  <c r="Q657" i="20"/>
  <c r="F302" i="2"/>
  <c r="O180" i="3"/>
  <c r="L1215" i="20"/>
  <c r="L349" i="20" s="1"/>
  <c r="J89" i="22" s="1"/>
  <c r="N180" i="3"/>
  <c r="N181" i="3" s="1"/>
  <c r="N171" i="3"/>
  <c r="E1022" i="8"/>
  <c r="Q1016" i="8"/>
  <c r="Q705" i="20"/>
  <c r="E708" i="20"/>
  <c r="K1046" i="8"/>
  <c r="K291" i="8" s="1"/>
  <c r="K1048" i="8"/>
  <c r="K1052" i="8" s="1"/>
  <c r="I712" i="8"/>
  <c r="I716" i="8" s="1"/>
  <c r="I1281" i="8" s="1"/>
  <c r="I710" i="8"/>
  <c r="I187" i="8" s="1"/>
  <c r="O1043" i="20"/>
  <c r="O287" i="20" s="1"/>
  <c r="Q1041" i="20"/>
  <c r="M710" i="8"/>
  <c r="M187" i="8" s="1"/>
  <c r="M712" i="8"/>
  <c r="M716" i="8" s="1"/>
  <c r="M1281" i="8" s="1"/>
  <c r="M1297" i="8" s="1"/>
  <c r="E714" i="8"/>
  <c r="Q714" i="8" s="1"/>
  <c r="Q708" i="8"/>
  <c r="L1020" i="8"/>
  <c r="L1024" i="8" s="1"/>
  <c r="L1026" i="8" s="1"/>
  <c r="L1018" i="8"/>
  <c r="L264" i="8" s="1"/>
  <c r="J1215" i="20"/>
  <c r="J349" i="20" s="1"/>
  <c r="H89" i="22" s="1"/>
  <c r="H429" i="3"/>
  <c r="H438" i="3"/>
  <c r="H439" i="3" s="1"/>
  <c r="Q971" i="8"/>
  <c r="E976" i="8"/>
  <c r="P159" i="8"/>
  <c r="N36" i="22" s="1"/>
  <c r="P675" i="8"/>
  <c r="P1275" i="8" s="1"/>
  <c r="P670" i="8"/>
  <c r="P1274" i="8" s="1"/>
  <c r="M429" i="3"/>
  <c r="M438" i="3"/>
  <c r="O183" i="20"/>
  <c r="M85" i="22" s="1"/>
  <c r="M87" i="22" s="1"/>
  <c r="O718" i="20"/>
  <c r="O723" i="20"/>
  <c r="O1281" i="20" s="1"/>
  <c r="O1298" i="20" s="1"/>
  <c r="I180" i="3"/>
  <c r="G438" i="3"/>
  <c r="K181" i="3"/>
  <c r="P166" i="3"/>
  <c r="K438" i="3"/>
  <c r="K439" i="3" s="1"/>
  <c r="K429" i="3"/>
  <c r="J438" i="3"/>
  <c r="J429" i="3"/>
  <c r="Q1214" i="20"/>
  <c r="P1054" i="8"/>
  <c r="P292" i="8" s="1"/>
  <c r="G1043" i="20"/>
  <c r="G287" i="20" s="1"/>
  <c r="Q1039" i="20"/>
  <c r="F1015" i="20"/>
  <c r="F259" i="20" s="1"/>
  <c r="Q1014" i="20"/>
  <c r="E713" i="8"/>
  <c r="E710" i="8"/>
  <c r="E187" i="8" s="1"/>
  <c r="D429" i="3"/>
  <c r="D438" i="3"/>
  <c r="D439" i="3" s="1"/>
  <c r="P158" i="20"/>
  <c r="P1272" i="20"/>
  <c r="I718" i="20"/>
  <c r="I183" i="20"/>
  <c r="G85" i="22" s="1"/>
  <c r="I723" i="20"/>
  <c r="I1281" i="20" s="1"/>
  <c r="F978" i="8"/>
  <c r="F257" i="8"/>
  <c r="Q973" i="8"/>
  <c r="Q968" i="20"/>
  <c r="N1048" i="8"/>
  <c r="N1052" i="8" s="1"/>
  <c r="N1046" i="8"/>
  <c r="N291" i="8" s="1"/>
  <c r="G1215" i="20"/>
  <c r="G349" i="20" s="1"/>
  <c r="Q1213" i="20"/>
  <c r="O713" i="8"/>
  <c r="O716" i="8" s="1"/>
  <c r="O710" i="8"/>
  <c r="O187" i="8" s="1"/>
  <c r="E159" i="8"/>
  <c r="C36" i="22" s="1"/>
  <c r="E675" i="8"/>
  <c r="E670" i="8"/>
  <c r="E1274" i="8" s="1"/>
  <c r="E1021" i="8"/>
  <c r="E1018" i="8"/>
  <c r="Q1015" i="8"/>
  <c r="H161" i="8"/>
  <c r="I159" i="8"/>
  <c r="G36" i="22" s="1"/>
  <c r="I670" i="8"/>
  <c r="I1274" i="8" s="1"/>
  <c r="I675" i="8"/>
  <c r="I1275" i="8" s="1"/>
  <c r="N1221" i="8"/>
  <c r="N1224" i="8" s="1"/>
  <c r="N1219" i="8"/>
  <c r="N353" i="8" s="1"/>
  <c r="N675" i="8"/>
  <c r="N1275" i="8" s="1"/>
  <c r="N670" i="8"/>
  <c r="N1274" i="8" s="1"/>
  <c r="N159" i="8"/>
  <c r="L36" i="22" s="1"/>
  <c r="P1022" i="8"/>
  <c r="P1024" i="8" s="1"/>
  <c r="P1018" i="8"/>
  <c r="P264" i="8" s="1"/>
  <c r="H354" i="8"/>
  <c r="K1329" i="8"/>
  <c r="Q1329" i="8" s="1"/>
  <c r="K230" i="8"/>
  <c r="F251" i="8"/>
  <c r="F357" i="20"/>
  <c r="H794" i="8"/>
  <c r="H799" i="8" s="1"/>
  <c r="H204" i="8" s="1"/>
  <c r="Q1327" i="20"/>
  <c r="L302" i="2"/>
  <c r="J1058" i="8"/>
  <c r="J294" i="8" s="1"/>
  <c r="P299" i="2"/>
  <c r="N361" i="8"/>
  <c r="J1268" i="8"/>
  <c r="I68" i="8"/>
  <c r="M1313" i="20"/>
  <c r="M1325" i="20" s="1"/>
  <c r="N1325" i="20"/>
  <c r="I309" i="20"/>
  <c r="O985" i="8"/>
  <c r="O260" i="8" s="1"/>
  <c r="I1163" i="8"/>
  <c r="I322" i="8" s="1"/>
  <c r="G1296" i="8"/>
  <c r="O1163" i="8"/>
  <c r="O322" i="8" s="1"/>
  <c r="I354" i="8"/>
  <c r="P146" i="2"/>
  <c r="O419" i="8"/>
  <c r="O70" i="8" s="1"/>
  <c r="J1183" i="20"/>
  <c r="J325" i="20" s="1"/>
  <c r="F914" i="8"/>
  <c r="F246" i="8" s="1"/>
  <c r="L1107" i="20"/>
  <c r="L304" i="20" s="1"/>
  <c r="O794" i="8"/>
  <c r="O799" i="8" s="1"/>
  <c r="O204" i="8" s="1"/>
  <c r="M21" i="22" s="1"/>
  <c r="M320" i="8"/>
  <c r="N1294" i="20"/>
  <c r="H1294" i="20"/>
  <c r="M313" i="8"/>
  <c r="G958" i="8"/>
  <c r="G253" i="8" s="1"/>
  <c r="O302" i="2"/>
  <c r="F1294" i="20"/>
  <c r="M1294" i="20"/>
  <c r="D21" i="22"/>
  <c r="L954" i="8"/>
  <c r="L958" i="8" s="1"/>
  <c r="L253" i="8" s="1"/>
  <c r="L1268" i="8"/>
  <c r="Q965" i="20"/>
  <c r="I1093" i="8"/>
  <c r="I301" i="8" s="1"/>
  <c r="J668" i="8"/>
  <c r="M1230" i="8"/>
  <c r="M356" i="8" s="1"/>
  <c r="E1054" i="8"/>
  <c r="E292" i="8" s="1"/>
  <c r="K981" i="8"/>
  <c r="K258" i="8" s="1"/>
  <c r="J299" i="8"/>
  <c r="L299" i="8"/>
  <c r="O361" i="8"/>
  <c r="E195" i="8"/>
  <c r="I1268" i="8"/>
  <c r="Q767" i="8"/>
  <c r="J1363" i="8"/>
  <c r="J1364" i="8" s="1"/>
  <c r="J869" i="8"/>
  <c r="J239" i="8" s="1"/>
  <c r="Q838" i="20"/>
  <c r="I230" i="8"/>
  <c r="O68" i="8"/>
  <c r="E1268" i="8"/>
  <c r="I306" i="8"/>
  <c r="M1296" i="8"/>
  <c r="P327" i="8"/>
  <c r="P361" i="8"/>
  <c r="J309" i="20"/>
  <c r="E299" i="8"/>
  <c r="L1295" i="8"/>
  <c r="N309" i="20"/>
  <c r="K354" i="8"/>
  <c r="K313" i="8"/>
  <c r="O668" i="8"/>
  <c r="M1320" i="8"/>
  <c r="Q966" i="8"/>
  <c r="M1314" i="8"/>
  <c r="O1325" i="20"/>
  <c r="G1093" i="8"/>
  <c r="G301" i="8" s="1"/>
  <c r="G299" i="8"/>
  <c r="K794" i="8"/>
  <c r="K799" i="8" s="1"/>
  <c r="K204" i="8" s="1"/>
  <c r="K22" i="8" s="1"/>
  <c r="Q1155" i="20"/>
  <c r="Q256" i="8"/>
  <c r="C40" i="14" s="1"/>
  <c r="K1327" i="8"/>
  <c r="J1187" i="8"/>
  <c r="J329" i="8" s="1"/>
  <c r="K1163" i="8"/>
  <c r="K322" i="8" s="1"/>
  <c r="J1163" i="8"/>
  <c r="J322" i="8" s="1"/>
  <c r="M869" i="8"/>
  <c r="M239" i="8" s="1"/>
  <c r="J1129" i="8"/>
  <c r="J315" i="8" s="1"/>
  <c r="G1294" i="20"/>
  <c r="Q1121" i="20"/>
  <c r="Q1008" i="20"/>
  <c r="O75" i="8"/>
  <c r="Q1306" i="8"/>
  <c r="I327" i="8"/>
  <c r="H1093" i="8"/>
  <c r="H301" i="8" s="1"/>
  <c r="H299" i="8"/>
  <c r="P1363" i="8"/>
  <c r="P1364" i="8" s="1"/>
  <c r="Q290" i="8"/>
  <c r="C42" i="14" s="1"/>
  <c r="G68" i="8"/>
  <c r="O1125" i="20"/>
  <c r="O311" i="20" s="1"/>
  <c r="G668" i="8"/>
  <c r="G672" i="8" s="1"/>
  <c r="G677" i="8" s="1"/>
  <c r="G162" i="8" s="1"/>
  <c r="F1129" i="8"/>
  <c r="F315" i="8" s="1"/>
  <c r="F313" i="8"/>
  <c r="H1315" i="8"/>
  <c r="H1327" i="8" s="1"/>
  <c r="J1295" i="8"/>
  <c r="G1268" i="8"/>
  <c r="O309" i="20"/>
  <c r="O1295" i="8"/>
  <c r="N265" i="8"/>
  <c r="K1183" i="20"/>
  <c r="K325" i="20" s="1"/>
  <c r="P230" i="8"/>
  <c r="Q1010" i="8"/>
  <c r="G1125" i="20"/>
  <c r="F865" i="8"/>
  <c r="H668" i="8"/>
  <c r="N865" i="8"/>
  <c r="I1129" i="8"/>
  <c r="I315" i="8" s="1"/>
  <c r="I313" i="8"/>
  <c r="M1249" i="20"/>
  <c r="M359" i="20" s="1"/>
  <c r="M357" i="20"/>
  <c r="L981" i="8"/>
  <c r="L985" i="8" s="1"/>
  <c r="Q1245" i="20"/>
  <c r="Q155" i="20"/>
  <c r="Q158" i="8"/>
  <c r="C29" i="14" s="1"/>
  <c r="I357" i="20"/>
  <c r="F1315" i="8"/>
  <c r="F1327" i="8" s="1"/>
  <c r="Q652" i="8"/>
  <c r="P95" i="20"/>
  <c r="P502" i="20"/>
  <c r="P97" i="20" s="1"/>
  <c r="L1163" i="8"/>
  <c r="L322" i="8" s="1"/>
  <c r="L320" i="8"/>
  <c r="F230" i="8"/>
  <c r="E1107" i="20"/>
  <c r="E304" i="20" s="1"/>
  <c r="Q263" i="8"/>
  <c r="C41" i="14" s="1"/>
  <c r="H1325" i="20"/>
  <c r="E1315" i="8"/>
  <c r="E1327" i="8" s="1"/>
  <c r="L1320" i="8"/>
  <c r="G1279" i="8"/>
  <c r="G718" i="8"/>
  <c r="P1323" i="8"/>
  <c r="Q653" i="8"/>
  <c r="Q1272" i="8" s="1"/>
  <c r="Q182" i="20"/>
  <c r="F1296" i="8"/>
  <c r="I1279" i="8"/>
  <c r="N1279" i="8"/>
  <c r="N1295" i="8" s="1"/>
  <c r="N718" i="8"/>
  <c r="I316" i="20"/>
  <c r="I1159" i="20"/>
  <c r="I318" i="20" s="1"/>
  <c r="N320" i="8"/>
  <c r="N1163" i="8"/>
  <c r="N322" i="8" s="1"/>
  <c r="P320" i="8"/>
  <c r="P1163" i="8"/>
  <c r="P322" i="8" s="1"/>
  <c r="E1313" i="20"/>
  <c r="E1325" i="20" s="1"/>
  <c r="I865" i="8"/>
  <c r="I1314" i="8"/>
  <c r="M1054" i="8"/>
  <c r="M292" i="8" s="1"/>
  <c r="Q839" i="8"/>
  <c r="Q1089" i="8"/>
  <c r="Q1307" i="20"/>
  <c r="Q1179" i="20"/>
  <c r="H865" i="8"/>
  <c r="H237" i="8" s="1"/>
  <c r="Q417" i="8"/>
  <c r="F668" i="8"/>
  <c r="E1279" i="8"/>
  <c r="E1295" i="8" s="1"/>
  <c r="N1280" i="8"/>
  <c r="N1296" i="8" s="1"/>
  <c r="G306" i="8"/>
  <c r="G1111" i="8"/>
  <c r="G308" i="8" s="1"/>
  <c r="O502" i="20"/>
  <c r="O97" i="20" s="1"/>
  <c r="O95" i="20"/>
  <c r="G316" i="20"/>
  <c r="G1159" i="20"/>
  <c r="G318" i="20" s="1"/>
  <c r="F1295" i="8"/>
  <c r="E865" i="8"/>
  <c r="O958" i="8"/>
  <c r="O253" i="8" s="1"/>
  <c r="O251" i="8"/>
  <c r="I1315" i="8"/>
  <c r="Q498" i="20"/>
  <c r="L1325" i="20"/>
  <c r="M1279" i="8"/>
  <c r="G96" i="8"/>
  <c r="G504" i="8"/>
  <c r="G98" i="8" s="1"/>
  <c r="Q500" i="8"/>
  <c r="Q464" i="20"/>
  <c r="J81" i="20"/>
  <c r="E1314" i="8"/>
  <c r="E954" i="8"/>
  <c r="M230" i="8"/>
  <c r="Q1038" i="8"/>
  <c r="Q1011" i="8"/>
  <c r="Q701" i="20"/>
  <c r="M1327" i="8"/>
  <c r="J468" i="20"/>
  <c r="Q258" i="20"/>
  <c r="F1314" i="8"/>
  <c r="P68" i="8"/>
  <c r="P411" i="8"/>
  <c r="P419" i="8" s="1"/>
  <c r="P70" i="8" s="1"/>
  <c r="E306" i="8"/>
  <c r="E1111" i="8"/>
  <c r="E308" i="8" s="1"/>
  <c r="I323" i="20"/>
  <c r="I1183" i="20"/>
  <c r="I325" i="20" s="1"/>
  <c r="M1026" i="8"/>
  <c r="L1321" i="8"/>
  <c r="Q968" i="8"/>
  <c r="K865" i="8"/>
  <c r="K1314" i="8"/>
  <c r="P865" i="8"/>
  <c r="M251" i="8"/>
  <c r="M958" i="8"/>
  <c r="M253" i="8" s="1"/>
  <c r="Q850" i="8"/>
  <c r="G1315" i="8"/>
  <c r="G1327" i="8" s="1"/>
  <c r="I361" i="8"/>
  <c r="I1253" i="8"/>
  <c r="I363" i="8" s="1"/>
  <c r="M306" i="8"/>
  <c r="M1111" i="8"/>
  <c r="M308" i="8" s="1"/>
  <c r="Q1009" i="8"/>
  <c r="G1026" i="8"/>
  <c r="Q1363" i="8"/>
  <c r="Q1364" i="8" s="1"/>
  <c r="P1295" i="8"/>
  <c r="Q1249" i="8"/>
  <c r="Q1253" i="8" s="1"/>
  <c r="I1321" i="8"/>
  <c r="Q1039" i="8"/>
  <c r="N68" i="8"/>
  <c r="N411" i="8"/>
  <c r="N419" i="8" s="1"/>
  <c r="N70" i="8" s="1"/>
  <c r="M361" i="8"/>
  <c r="M1253" i="8"/>
  <c r="M363" i="8" s="1"/>
  <c r="M411" i="8"/>
  <c r="M419" i="8" s="1"/>
  <c r="M70" i="8" s="1"/>
  <c r="M68" i="8"/>
  <c r="L1363" i="8"/>
  <c r="L1364" i="8" s="1"/>
  <c r="K1268" i="8"/>
  <c r="F306" i="8"/>
  <c r="F1111" i="8"/>
  <c r="F308" i="8" s="1"/>
  <c r="G1313" i="20"/>
  <c r="G1325" i="20" s="1"/>
  <c r="Q849" i="20"/>
  <c r="O1320" i="8"/>
  <c r="H1295" i="8"/>
  <c r="J834" i="8"/>
  <c r="J841" i="8" s="1"/>
  <c r="J232" i="8" s="1"/>
  <c r="J230" i="8"/>
  <c r="Q1265" i="8"/>
  <c r="M668" i="8"/>
  <c r="Q1278" i="20"/>
  <c r="Q407" i="8"/>
  <c r="M1311" i="8"/>
  <c r="Q1037" i="8"/>
  <c r="I1320" i="8"/>
  <c r="I1054" i="8"/>
  <c r="Q235" i="8"/>
  <c r="C37" i="14" s="1"/>
  <c r="H320" i="8"/>
  <c r="H1163" i="8"/>
  <c r="H322" i="8" s="1"/>
  <c r="Q703" i="8"/>
  <c r="K1280" i="8"/>
  <c r="L1314" i="8"/>
  <c r="L865" i="8"/>
  <c r="G1299" i="8"/>
  <c r="Q1299" i="8" s="1"/>
  <c r="H1363" i="8"/>
  <c r="H1364" i="8" s="1"/>
  <c r="P1111" i="8"/>
  <c r="P308" i="8" s="1"/>
  <c r="P306" i="8"/>
  <c r="G1363" i="8"/>
  <c r="G1364" i="8" s="1"/>
  <c r="Q1261" i="8"/>
  <c r="P1268" i="8"/>
  <c r="O313" i="8"/>
  <c r="O1129" i="8"/>
  <c r="O315" i="8" s="1"/>
  <c r="Q230" i="20"/>
  <c r="H68" i="8"/>
  <c r="H411" i="8"/>
  <c r="H419" i="8" s="1"/>
  <c r="H70" i="8" s="1"/>
  <c r="P668" i="8"/>
  <c r="J1292" i="8"/>
  <c r="F1268" i="8"/>
  <c r="G139" i="8"/>
  <c r="G572" i="8"/>
  <c r="Q568" i="8"/>
  <c r="K718" i="8"/>
  <c r="K1279" i="8"/>
  <c r="Q702" i="8"/>
  <c r="L1315" i="8"/>
  <c r="J202" i="8"/>
  <c r="J794" i="8"/>
  <c r="J799" i="8" s="1"/>
  <c r="J204" i="8" s="1"/>
  <c r="G313" i="8"/>
  <c r="G1129" i="8"/>
  <c r="Q1125" i="8"/>
  <c r="Q551" i="8"/>
  <c r="G555" i="8"/>
  <c r="G132" i="8"/>
  <c r="K1187" i="8"/>
  <c r="K329" i="8" s="1"/>
  <c r="K327" i="8"/>
  <c r="O1321" i="8"/>
  <c r="O1327" i="8" s="1"/>
  <c r="I1270" i="20"/>
  <c r="Q650" i="20"/>
  <c r="G419" i="8"/>
  <c r="G70" i="8" s="1"/>
  <c r="G865" i="8"/>
  <c r="Q849" i="8"/>
  <c r="G1314" i="8"/>
  <c r="G1163" i="8"/>
  <c r="G320" i="8"/>
  <c r="Q1159" i="8"/>
  <c r="G570" i="20"/>
  <c r="G138" i="20" s="1"/>
  <c r="G136" i="20"/>
  <c r="N1268" i="8"/>
  <c r="O1363" i="8"/>
  <c r="O1364" i="8" s="1"/>
  <c r="G553" i="20"/>
  <c r="G131" i="20" s="1"/>
  <c r="G129" i="20"/>
  <c r="Q1036" i="20"/>
  <c r="P538" i="8"/>
  <c r="P105" i="8" s="1"/>
  <c r="P103" i="8"/>
  <c r="Q286" i="20"/>
  <c r="M1268" i="8"/>
  <c r="N1363" i="8"/>
  <c r="N1364" i="8" s="1"/>
  <c r="Q1319" i="20"/>
  <c r="F538" i="8"/>
  <c r="Q534" i="8"/>
  <c r="F103" i="8"/>
  <c r="F411" i="8"/>
  <c r="F419" i="8" s="1"/>
  <c r="F70" i="8" s="1"/>
  <c r="F68" i="8"/>
  <c r="P75" i="8"/>
  <c r="P436" i="8"/>
  <c r="P77" i="8" s="1"/>
  <c r="E138" i="20"/>
  <c r="F131" i="20"/>
  <c r="F776" i="8"/>
  <c r="G91" i="8"/>
  <c r="E1311" i="8"/>
  <c r="Q1040" i="20"/>
  <c r="F1043" i="20"/>
  <c r="J318" i="20"/>
  <c r="H251" i="8"/>
  <c r="H958" i="8"/>
  <c r="H253" i="8" s="1"/>
  <c r="J939" i="8"/>
  <c r="J941" i="8"/>
  <c r="J249" i="8"/>
  <c r="J940" i="8"/>
  <c r="Q938" i="8"/>
  <c r="I1292" i="8"/>
  <c r="Q1290" i="8"/>
  <c r="Q1292" i="8" s="1"/>
  <c r="E834" i="8"/>
  <c r="E841" i="8" s="1"/>
  <c r="E232" i="8" s="1"/>
  <c r="E26" i="8" s="1"/>
  <c r="E230" i="8"/>
  <c r="I296" i="2"/>
  <c r="P296" i="2" s="1"/>
  <c r="I300" i="2"/>
  <c r="E102" i="20"/>
  <c r="E536" i="20"/>
  <c r="Q532" i="20"/>
  <c r="G436" i="8"/>
  <c r="G75" i="8"/>
  <c r="Q432" i="8"/>
  <c r="H1326" i="8"/>
  <c r="O302" i="20"/>
  <c r="Q1103" i="20"/>
  <c r="O1107" i="20"/>
  <c r="Q715" i="8"/>
  <c r="J716" i="8"/>
  <c r="I436" i="8"/>
  <c r="I77" i="8" s="1"/>
  <c r="I75" i="8"/>
  <c r="P284" i="2"/>
  <c r="P24" i="23"/>
  <c r="M56" i="23"/>
  <c r="F1049" i="8"/>
  <c r="F1046" i="8"/>
  <c r="Q1043" i="8"/>
  <c r="H1316" i="8"/>
  <c r="H1026" i="8"/>
  <c r="E1299" i="20"/>
  <c r="Q1299" i="20" s="1"/>
  <c r="Q1265" i="20"/>
  <c r="E434" i="3"/>
  <c r="P434" i="3" s="1"/>
  <c r="E438" i="3"/>
  <c r="P433" i="3"/>
  <c r="O1111" i="8"/>
  <c r="O306" i="8"/>
  <c r="Q1107" i="8"/>
  <c r="J718" i="20"/>
  <c r="J183" i="20"/>
  <c r="H85" i="22" s="1"/>
  <c r="J723" i="20"/>
  <c r="J1281" i="20" s="1"/>
  <c r="G74" i="20"/>
  <c r="G433" i="20"/>
  <c r="G76" i="20" s="1"/>
  <c r="E433" i="20"/>
  <c r="E76" i="20" s="1"/>
  <c r="Q429" i="20"/>
  <c r="E74" i="20"/>
  <c r="I202" i="8"/>
  <c r="I794" i="8"/>
  <c r="Q790" i="8"/>
  <c r="J244" i="20"/>
  <c r="Q244" i="20" s="1"/>
  <c r="J938" i="20"/>
  <c r="J937" i="20"/>
  <c r="Q937" i="20" s="1"/>
  <c r="Q935" i="20"/>
  <c r="F148" i="8"/>
  <c r="E359" i="20"/>
  <c r="P716" i="8"/>
  <c r="L834" i="8"/>
  <c r="L230" i="8"/>
  <c r="Q830" i="8"/>
  <c r="L1330" i="8"/>
  <c r="Q1330" i="8" s="1"/>
  <c r="Q1310" i="8"/>
  <c r="L1311" i="8"/>
  <c r="Q1308" i="8"/>
  <c r="G981" i="8"/>
  <c r="J1273" i="20"/>
  <c r="L1272" i="20"/>
  <c r="L158" i="20"/>
  <c r="J76" i="22" s="1"/>
  <c r="O1224" i="8"/>
  <c r="I253" i="8"/>
  <c r="L668" i="8"/>
  <c r="K158" i="20"/>
  <c r="K1272" i="20"/>
  <c r="O349" i="20"/>
  <c r="J158" i="20"/>
  <c r="J1272" i="20"/>
  <c r="K161" i="8"/>
  <c r="L161" i="8"/>
  <c r="M161" i="8"/>
  <c r="K668" i="8"/>
  <c r="O353" i="8"/>
  <c r="M158" i="20"/>
  <c r="M1272" i="20"/>
  <c r="L145" i="20"/>
  <c r="Q940" i="8" l="1"/>
  <c r="H240" i="26" s="1"/>
  <c r="P954" i="8"/>
  <c r="Q249" i="8"/>
  <c r="P1314" i="8"/>
  <c r="P1326" i="8" s="1"/>
  <c r="G264" i="26"/>
  <c r="C136" i="28"/>
  <c r="C119" i="28"/>
  <c r="Q363" i="8"/>
  <c r="H147" i="26"/>
  <c r="H150" i="26" s="1"/>
  <c r="G117" i="26"/>
  <c r="I117" i="26" s="1"/>
  <c r="H212" i="26"/>
  <c r="K212" i="26" s="1"/>
  <c r="H211" i="26"/>
  <c r="K211" i="26" s="1"/>
  <c r="G175" i="26"/>
  <c r="Q1271" i="8"/>
  <c r="E246" i="26"/>
  <c r="E244" i="26"/>
  <c r="G236" i="26"/>
  <c r="D240" i="26"/>
  <c r="G240" i="26" s="1"/>
  <c r="D241" i="26"/>
  <c r="G241" i="26" s="1"/>
  <c r="G62" i="26"/>
  <c r="I62" i="26" s="1"/>
  <c r="C39" i="28"/>
  <c r="E37" i="28"/>
  <c r="C25" i="28"/>
  <c r="E23" i="28"/>
  <c r="E25" i="28" s="1"/>
  <c r="I95" i="26"/>
  <c r="E15" i="26"/>
  <c r="L188" i="8"/>
  <c r="P725" i="8"/>
  <c r="P187" i="8"/>
  <c r="N37" i="22" s="1"/>
  <c r="J725" i="8"/>
  <c r="J1283" i="8" s="1"/>
  <c r="J1300" i="8" s="1"/>
  <c r="J187" i="8"/>
  <c r="G73" i="26"/>
  <c r="I73" i="26" s="1"/>
  <c r="G68" i="26"/>
  <c r="I68" i="26" s="1"/>
  <c r="F41" i="22"/>
  <c r="G67" i="26"/>
  <c r="I67" i="26" s="1"/>
  <c r="A78" i="2"/>
  <c r="G177" i="26"/>
  <c r="G64" i="26"/>
  <c r="I64" i="26" s="1"/>
  <c r="E215" i="26"/>
  <c r="E217" i="26"/>
  <c r="E216" i="26"/>
  <c r="E14" i="26"/>
  <c r="G111" i="26"/>
  <c r="G113" i="26" s="1"/>
  <c r="I113" i="26" s="1"/>
  <c r="G75" i="26"/>
  <c r="I75" i="26" s="1"/>
  <c r="G105" i="26"/>
  <c r="G107" i="26" s="1"/>
  <c r="G63" i="26"/>
  <c r="G66" i="26"/>
  <c r="I66" i="26" s="1"/>
  <c r="F107" i="26"/>
  <c r="G65" i="26"/>
  <c r="I65" i="26" s="1"/>
  <c r="G72" i="26"/>
  <c r="I72" i="26" s="1"/>
  <c r="G70" i="26"/>
  <c r="I70" i="26" s="1"/>
  <c r="I60" i="26"/>
  <c r="H210" i="26"/>
  <c r="G69" i="26"/>
  <c r="I69" i="26" s="1"/>
  <c r="G206" i="26"/>
  <c r="E158" i="26"/>
  <c r="H1334" i="20"/>
  <c r="L1334" i="20"/>
  <c r="N1334" i="20"/>
  <c r="D78" i="26"/>
  <c r="J28" i="8"/>
  <c r="I39" i="22"/>
  <c r="M19" i="8"/>
  <c r="N958" i="8"/>
  <c r="N253" i="8" s="1"/>
  <c r="N21" i="22"/>
  <c r="K1300" i="8"/>
  <c r="Q90" i="20"/>
  <c r="Q88" i="20"/>
  <c r="Q150" i="20"/>
  <c r="J19" i="8"/>
  <c r="C18" i="22"/>
  <c r="Q84" i="8"/>
  <c r="F22" i="26" s="1"/>
  <c r="I91" i="22"/>
  <c r="Q102" i="20"/>
  <c r="E19" i="8"/>
  <c r="Q82" i="8"/>
  <c r="K19" i="8"/>
  <c r="K1298" i="8"/>
  <c r="L19" i="8"/>
  <c r="K1296" i="20"/>
  <c r="K189" i="8"/>
  <c r="I28" i="22" s="1"/>
  <c r="N22" i="8"/>
  <c r="H18" i="22"/>
  <c r="Q153" i="8"/>
  <c r="Q74" i="20"/>
  <c r="G185" i="20"/>
  <c r="E76" i="22" s="1"/>
  <c r="L39" i="22"/>
  <c r="Q129" i="20"/>
  <c r="Q1183" i="8"/>
  <c r="G1296" i="20"/>
  <c r="I18" i="22"/>
  <c r="N1296" i="20"/>
  <c r="K185" i="20"/>
  <c r="I76" i="22" s="1"/>
  <c r="O160" i="8"/>
  <c r="Q485" i="20"/>
  <c r="J21" i="22"/>
  <c r="Q136" i="20"/>
  <c r="M160" i="8"/>
  <c r="Q96" i="8"/>
  <c r="Q771" i="8"/>
  <c r="E21" i="22"/>
  <c r="K91" i="22"/>
  <c r="Q155" i="8"/>
  <c r="F26" i="26" s="1"/>
  <c r="L1300" i="8"/>
  <c r="O869" i="8"/>
  <c r="O239" i="8" s="1"/>
  <c r="H1268" i="8"/>
  <c r="I19" i="8"/>
  <c r="O19" i="8"/>
  <c r="H445" i="3"/>
  <c r="H446" i="3" s="1"/>
  <c r="J720" i="8"/>
  <c r="J189" i="8" s="1"/>
  <c r="Q139" i="8"/>
  <c r="Q98" i="8"/>
  <c r="F19" i="26" s="1"/>
  <c r="J161" i="8"/>
  <c r="P185" i="20"/>
  <c r="N76" i="22" s="1"/>
  <c r="P720" i="8"/>
  <c r="P1282" i="8" s="1"/>
  <c r="Q487" i="8"/>
  <c r="M22" i="8"/>
  <c r="J672" i="8"/>
  <c r="J677" i="8" s="1"/>
  <c r="J162" i="8" s="1"/>
  <c r="H1276" i="8"/>
  <c r="N160" i="8"/>
  <c r="Q132" i="8"/>
  <c r="O161" i="8"/>
  <c r="H188" i="8"/>
  <c r="Q628" i="8"/>
  <c r="O22" i="8"/>
  <c r="H722" i="8"/>
  <c r="H727" i="8" s="1"/>
  <c r="H190" i="8" s="1"/>
  <c r="H327" i="8"/>
  <c r="Q327" i="8" s="1"/>
  <c r="Q1215" i="20"/>
  <c r="L1054" i="8"/>
  <c r="L292" i="8" s="1"/>
  <c r="Q152" i="20"/>
  <c r="H26" i="26" s="1"/>
  <c r="N445" i="3"/>
  <c r="N446" i="3" s="1"/>
  <c r="Q81" i="20"/>
  <c r="M718" i="8"/>
  <c r="I1328" i="8"/>
  <c r="Q91" i="8"/>
  <c r="J18" i="22"/>
  <c r="Q712" i="8"/>
  <c r="I1297" i="8"/>
  <c r="L1296" i="20"/>
  <c r="Q625" i="20"/>
  <c r="L91" i="22"/>
  <c r="Q1219" i="8"/>
  <c r="Q470" i="8"/>
  <c r="L189" i="8"/>
  <c r="J28" i="22" s="1"/>
  <c r="L1282" i="8"/>
  <c r="L1284" i="8" s="1"/>
  <c r="Q159" i="8"/>
  <c r="D29" i="14" s="1"/>
  <c r="F29" i="14" s="1"/>
  <c r="Q302" i="20"/>
  <c r="L41" i="22"/>
  <c r="O36" i="22"/>
  <c r="L722" i="8"/>
  <c r="L727" i="8" s="1"/>
  <c r="L190" i="8" s="1"/>
  <c r="Q666" i="8"/>
  <c r="Q1273" i="8" s="1"/>
  <c r="Q323" i="20"/>
  <c r="P1058" i="8"/>
  <c r="P294" i="8" s="1"/>
  <c r="P28" i="8" s="1"/>
  <c r="L354" i="8"/>
  <c r="H1300" i="8"/>
  <c r="F39" i="22"/>
  <c r="E672" i="8"/>
  <c r="E677" i="8" s="1"/>
  <c r="Q667" i="20"/>
  <c r="P429" i="3"/>
  <c r="I41" i="22"/>
  <c r="J91" i="22"/>
  <c r="F1276" i="8"/>
  <c r="F161" i="8"/>
  <c r="Q675" i="8"/>
  <c r="G189" i="8"/>
  <c r="G1282" i="8"/>
  <c r="G1298" i="8" s="1"/>
  <c r="Q156" i="20"/>
  <c r="M1322" i="8"/>
  <c r="M1328" i="8" s="1"/>
  <c r="L1316" i="8"/>
  <c r="L1328" i="8" s="1"/>
  <c r="I1026" i="8"/>
  <c r="I1030" i="8" s="1"/>
  <c r="I267" i="8" s="1"/>
  <c r="M18" i="22"/>
  <c r="P354" i="8"/>
  <c r="E41" i="22"/>
  <c r="E43" i="22" s="1"/>
  <c r="L445" i="3"/>
  <c r="L446" i="3" s="1"/>
  <c r="G1283" i="8"/>
  <c r="G1300" i="8" s="1"/>
  <c r="H143" i="20"/>
  <c r="Q143" i="20" s="1"/>
  <c r="Q605" i="20"/>
  <c r="H609" i="20"/>
  <c r="N41" i="22"/>
  <c r="H611" i="8"/>
  <c r="H146" i="8"/>
  <c r="Q146" i="8" s="1"/>
  <c r="Q607" i="8"/>
  <c r="E914" i="8"/>
  <c r="E246" i="8" s="1"/>
  <c r="Q246" i="8" s="1"/>
  <c r="E38" i="14" s="1"/>
  <c r="E26" i="19" s="1"/>
  <c r="E244" i="8"/>
  <c r="Q244" i="8" s="1"/>
  <c r="Q713" i="8"/>
  <c r="P438" i="3"/>
  <c r="Q910" i="8"/>
  <c r="E1058" i="8"/>
  <c r="E294" i="8" s="1"/>
  <c r="I668" i="8"/>
  <c r="I672" i="8" s="1"/>
  <c r="I677" i="8" s="1"/>
  <c r="I162" i="8" s="1"/>
  <c r="G19" i="22" s="1"/>
  <c r="F354" i="8"/>
  <c r="J258" i="8"/>
  <c r="P171" i="3"/>
  <c r="H1282" i="8"/>
  <c r="H1284" i="8" s="1"/>
  <c r="H189" i="8"/>
  <c r="F28" i="22" s="1"/>
  <c r="F87" i="22"/>
  <c r="F91" i="22" s="1"/>
  <c r="H1297" i="8"/>
  <c r="Q1263" i="8"/>
  <c r="Q1268" i="8" s="1"/>
  <c r="M985" i="8"/>
  <c r="M260" i="8" s="1"/>
  <c r="Q195" i="8"/>
  <c r="G18" i="22"/>
  <c r="P1316" i="8"/>
  <c r="P1026" i="8"/>
  <c r="I161" i="8"/>
  <c r="J1369" i="8"/>
  <c r="J1370" i="8" s="1"/>
  <c r="E725" i="8"/>
  <c r="E1283" i="8" s="1"/>
  <c r="E720" i="8"/>
  <c r="C37" i="22"/>
  <c r="C39" i="22" s="1"/>
  <c r="J445" i="3"/>
  <c r="J446" i="3" s="1"/>
  <c r="J439" i="3"/>
  <c r="G439" i="3"/>
  <c r="G445" i="3"/>
  <c r="G446" i="3" s="1"/>
  <c r="F1281" i="8"/>
  <c r="F718" i="8"/>
  <c r="I1272" i="20"/>
  <c r="I158" i="20"/>
  <c r="Q1223" i="8"/>
  <c r="Q672" i="20"/>
  <c r="I718" i="8"/>
  <c r="I1369" i="8"/>
  <c r="I1370" i="8" s="1"/>
  <c r="E264" i="8"/>
  <c r="Q264" i="8" s="1"/>
  <c r="D41" i="14" s="1"/>
  <c r="Q1018" i="8"/>
  <c r="F979" i="8"/>
  <c r="F981" i="8" s="1"/>
  <c r="Q978" i="8"/>
  <c r="E716" i="8"/>
  <c r="Q716" i="8" s="1"/>
  <c r="E89" i="22"/>
  <c r="E91" i="22" s="1"/>
  <c r="I181" i="3"/>
  <c r="I445" i="3"/>
  <c r="I446" i="3" s="1"/>
  <c r="M439" i="3"/>
  <c r="M445" i="3"/>
  <c r="M446" i="3" s="1"/>
  <c r="J41" i="22"/>
  <c r="J43" i="22" s="1"/>
  <c r="K1054" i="8"/>
  <c r="K1322" i="8"/>
  <c r="K1323" i="8" s="1"/>
  <c r="E718" i="20"/>
  <c r="E183" i="20"/>
  <c r="E723" i="20"/>
  <c r="E1281" i="20" s="1"/>
  <c r="E1298" i="20" s="1"/>
  <c r="Q708" i="20"/>
  <c r="O181" i="3"/>
  <c r="O445" i="3"/>
  <c r="O446" i="3" s="1"/>
  <c r="G1052" i="8"/>
  <c r="Q1048" i="8"/>
  <c r="H981" i="8"/>
  <c r="K1024" i="8"/>
  <c r="Q1020" i="8"/>
  <c r="E259" i="20"/>
  <c r="Q259" i="20" s="1"/>
  <c r="Q1015" i="20"/>
  <c r="J1316" i="8"/>
  <c r="J1328" i="8" s="1"/>
  <c r="J1226" i="8"/>
  <c r="M1280" i="20"/>
  <c r="M1296" i="20" s="1"/>
  <c r="M185" i="20"/>
  <c r="M1334" i="20" s="1"/>
  <c r="G87" i="22"/>
  <c r="G91" i="22" s="1"/>
  <c r="F183" i="20"/>
  <c r="D85" i="22" s="1"/>
  <c r="D87" i="22" s="1"/>
  <c r="F723" i="20"/>
  <c r="F1281" i="20" s="1"/>
  <c r="F1298" i="20" s="1"/>
  <c r="F718" i="20"/>
  <c r="O1030" i="8"/>
  <c r="O267" i="8" s="1"/>
  <c r="O265" i="8"/>
  <c r="E1275" i="8"/>
  <c r="E160" i="8"/>
  <c r="Q710" i="8"/>
  <c r="M1317" i="8"/>
  <c r="N161" i="8"/>
  <c r="N1226" i="8"/>
  <c r="N1316" i="8"/>
  <c r="Q1021" i="8"/>
  <c r="E1024" i="8"/>
  <c r="M37" i="22"/>
  <c r="M39" i="22" s="1"/>
  <c r="O725" i="8"/>
  <c r="O720" i="8"/>
  <c r="E252" i="20"/>
  <c r="C89" i="22" s="1"/>
  <c r="Q971" i="20"/>
  <c r="K445" i="3"/>
  <c r="K446" i="3" s="1"/>
  <c r="E257" i="8"/>
  <c r="Q974" i="8"/>
  <c r="K37" i="22"/>
  <c r="K39" i="22" s="1"/>
  <c r="K43" i="22" s="1"/>
  <c r="M720" i="8"/>
  <c r="M725" i="8"/>
  <c r="F1024" i="8"/>
  <c r="Q1023" i="8"/>
  <c r="H1052" i="8"/>
  <c r="H1054" i="8" s="1"/>
  <c r="Q1051" i="8"/>
  <c r="N672" i="8"/>
  <c r="N677" i="8" s="1"/>
  <c r="N162" i="8" s="1"/>
  <c r="E1272" i="20"/>
  <c r="E158" i="20"/>
  <c r="Q1221" i="8"/>
  <c r="G1224" i="8"/>
  <c r="Q1224" i="8" s="1"/>
  <c r="I1298" i="20"/>
  <c r="N1054" i="8"/>
  <c r="N1322" i="8"/>
  <c r="N1323" i="8" s="1"/>
  <c r="Q1022" i="8"/>
  <c r="Q670" i="8"/>
  <c r="Q1274" i="8" s="1"/>
  <c r="N1300" i="8"/>
  <c r="E161" i="8"/>
  <c r="O1281" i="8"/>
  <c r="O718" i="8"/>
  <c r="I185" i="20"/>
  <c r="I1280" i="20"/>
  <c r="O185" i="20"/>
  <c r="M76" i="22" s="1"/>
  <c r="O1280" i="20"/>
  <c r="O1296" i="20" s="1"/>
  <c r="P161" i="8"/>
  <c r="P1276" i="8"/>
  <c r="E979" i="8"/>
  <c r="Q976" i="8"/>
  <c r="G37" i="22"/>
  <c r="G39" i="22" s="1"/>
  <c r="G43" i="22" s="1"/>
  <c r="I720" i="8"/>
  <c r="I725" i="8"/>
  <c r="I1283" i="8" s="1"/>
  <c r="F439" i="3"/>
  <c r="F445" i="3"/>
  <c r="F446" i="3" s="1"/>
  <c r="D30" i="23"/>
  <c r="P29" i="23"/>
  <c r="D37" i="22"/>
  <c r="D39" i="22" s="1"/>
  <c r="F725" i="8"/>
  <c r="F720" i="8"/>
  <c r="O1052" i="8"/>
  <c r="Q1050" i="8"/>
  <c r="D181" i="3"/>
  <c r="P180" i="3"/>
  <c r="D445" i="3"/>
  <c r="D446" i="3" s="1"/>
  <c r="Q316" i="20"/>
  <c r="Q95" i="20"/>
  <c r="K985" i="8"/>
  <c r="K260" i="8" s="1"/>
  <c r="L251" i="8"/>
  <c r="K1284" i="8"/>
  <c r="J160" i="8"/>
  <c r="O672" i="8"/>
  <c r="O677" i="8" s="1"/>
  <c r="O162" i="8" s="1"/>
  <c r="Q357" i="20"/>
  <c r="Q1093" i="8"/>
  <c r="M1326" i="8"/>
  <c r="Q329" i="8"/>
  <c r="F31" i="26" s="1"/>
  <c r="L1327" i="8"/>
  <c r="Q299" i="8"/>
  <c r="I21" i="22"/>
  <c r="Q309" i="20"/>
  <c r="L1323" i="8"/>
  <c r="Q313" i="8"/>
  <c r="L258" i="8"/>
  <c r="Q359" i="20"/>
  <c r="H32" i="26" s="1"/>
  <c r="E54" i="19" s="1"/>
  <c r="Q138" i="20"/>
  <c r="H26" i="14" s="1"/>
  <c r="Q103" i="8"/>
  <c r="L1326" i="8"/>
  <c r="N1284" i="8"/>
  <c r="G160" i="8"/>
  <c r="G1295" i="8"/>
  <c r="M1058" i="8"/>
  <c r="M294" i="8" s="1"/>
  <c r="Q553" i="20"/>
  <c r="Q97" i="20"/>
  <c r="H19" i="26" s="1"/>
  <c r="Q1249" i="20"/>
  <c r="H1369" i="8"/>
  <c r="H1370" i="8" s="1"/>
  <c r="G1276" i="8"/>
  <c r="Q361" i="8"/>
  <c r="P1369" i="8"/>
  <c r="P1370" i="8" s="1"/>
  <c r="O1276" i="8"/>
  <c r="Q1159" i="20"/>
  <c r="G722" i="8"/>
  <c r="G727" i="8" s="1"/>
  <c r="G190" i="8" s="1"/>
  <c r="G188" i="8"/>
  <c r="H160" i="8"/>
  <c r="H672" i="8"/>
  <c r="H677" i="8" s="1"/>
  <c r="H162" i="8" s="1"/>
  <c r="F19" i="22" s="1"/>
  <c r="Q502" i="20"/>
  <c r="Q131" i="20"/>
  <c r="H23" i="26" s="1"/>
  <c r="N18" i="22"/>
  <c r="H869" i="8"/>
  <c r="H239" i="8" s="1"/>
  <c r="K1326" i="8"/>
  <c r="F869" i="8"/>
  <c r="F239" i="8" s="1"/>
  <c r="F237" i="8"/>
  <c r="N237" i="8"/>
  <c r="N869" i="8"/>
  <c r="N239" i="8" s="1"/>
  <c r="Q570" i="20"/>
  <c r="G311" i="20"/>
  <c r="Q311" i="20" s="1"/>
  <c r="Q1125" i="20"/>
  <c r="M672" i="8"/>
  <c r="M677" i="8" s="1"/>
  <c r="M162" i="8" s="1"/>
  <c r="Q419" i="8"/>
  <c r="Q1183" i="20"/>
  <c r="K237" i="8"/>
  <c r="K869" i="8"/>
  <c r="K239" i="8" s="1"/>
  <c r="E1326" i="8"/>
  <c r="I869" i="8"/>
  <c r="I239" i="8" s="1"/>
  <c r="I237" i="8"/>
  <c r="Q325" i="20"/>
  <c r="H31" i="26" s="1"/>
  <c r="E53" i="19" s="1"/>
  <c r="Q318" i="20"/>
  <c r="H30" i="26" s="1"/>
  <c r="E52" i="19" s="1"/>
  <c r="F1326" i="8"/>
  <c r="Q68" i="8"/>
  <c r="M1030" i="8"/>
  <c r="M267" i="8" s="1"/>
  <c r="M27" i="8" s="1"/>
  <c r="M265" i="8"/>
  <c r="M1339" i="8" s="1"/>
  <c r="P869" i="8"/>
  <c r="P239" i="8" s="1"/>
  <c r="P237" i="8"/>
  <c r="J83" i="20"/>
  <c r="Q83" i="20" s="1"/>
  <c r="Q468" i="20"/>
  <c r="E869" i="8"/>
  <c r="E239" i="8" s="1"/>
  <c r="E237" i="8"/>
  <c r="F160" i="8"/>
  <c r="F672" i="8"/>
  <c r="F677" i="8" s="1"/>
  <c r="F162" i="8" s="1"/>
  <c r="N722" i="8"/>
  <c r="N727" i="8" s="1"/>
  <c r="N190" i="8" s="1"/>
  <c r="N188" i="8"/>
  <c r="Q504" i="8"/>
  <c r="M1295" i="8"/>
  <c r="K18" i="22"/>
  <c r="E958" i="8"/>
  <c r="E253" i="8" s="1"/>
  <c r="E251" i="8"/>
  <c r="I1317" i="8"/>
  <c r="G1326" i="8"/>
  <c r="P1296" i="8"/>
  <c r="G134" i="8"/>
  <c r="Q134" i="8" s="1"/>
  <c r="Q555" i="8"/>
  <c r="P160" i="8"/>
  <c r="P672" i="8"/>
  <c r="P677" i="8" s="1"/>
  <c r="P162" i="8" s="1"/>
  <c r="N19" i="22" s="1"/>
  <c r="Q306" i="8"/>
  <c r="P19" i="8"/>
  <c r="Q1279" i="8"/>
  <c r="G315" i="8"/>
  <c r="Q315" i="8" s="1"/>
  <c r="Q1129" i="8"/>
  <c r="K188" i="8"/>
  <c r="K722" i="8"/>
  <c r="K727" i="8" s="1"/>
  <c r="K190" i="8" s="1"/>
  <c r="I1295" i="8"/>
  <c r="K1296" i="8"/>
  <c r="Q1280" i="8"/>
  <c r="Q538" i="8"/>
  <c r="F105" i="8"/>
  <c r="Q105" i="8" s="1"/>
  <c r="Q320" i="8"/>
  <c r="G237" i="8"/>
  <c r="G869" i="8"/>
  <c r="Q865" i="8"/>
  <c r="I1294" i="20"/>
  <c r="Q1294" i="20" s="1"/>
  <c r="Q1270" i="20"/>
  <c r="I292" i="8"/>
  <c r="I1058" i="8"/>
  <c r="I294" i="8" s="1"/>
  <c r="I28" i="8" s="1"/>
  <c r="L18" i="22"/>
  <c r="N19" i="8"/>
  <c r="Q1321" i="8"/>
  <c r="I1327" i="8"/>
  <c r="G265" i="8"/>
  <c r="G1030" i="8"/>
  <c r="G267" i="8" s="1"/>
  <c r="Q1187" i="8"/>
  <c r="Q202" i="8"/>
  <c r="Q411" i="8"/>
  <c r="G322" i="8"/>
  <c r="Q322" i="8" s="1"/>
  <c r="Q1163" i="8"/>
  <c r="I1296" i="8"/>
  <c r="H21" i="22"/>
  <c r="J22" i="8"/>
  <c r="G141" i="8"/>
  <c r="Q141" i="8" s="1"/>
  <c r="Q572" i="8"/>
  <c r="L869" i="8"/>
  <c r="L239" i="8" s="1"/>
  <c r="L237" i="8"/>
  <c r="Q1320" i="8"/>
  <c r="I1323" i="8"/>
  <c r="I1326" i="8"/>
  <c r="K1295" i="8"/>
  <c r="O1326" i="8"/>
  <c r="F197" i="8"/>
  <c r="Q197" i="8" s="1"/>
  <c r="F16" i="26" s="1"/>
  <c r="Q776" i="8"/>
  <c r="Q1311" i="8"/>
  <c r="R1311" i="8" s="1"/>
  <c r="Q230" i="8"/>
  <c r="L265" i="8"/>
  <c r="L1030" i="8"/>
  <c r="L267" i="8" s="1"/>
  <c r="J718" i="8"/>
  <c r="J1281" i="8"/>
  <c r="J1297" i="8" s="1"/>
  <c r="O304" i="20"/>
  <c r="Q304" i="20" s="1"/>
  <c r="H28" i="26" s="1"/>
  <c r="E50" i="19" s="1"/>
  <c r="Q1107" i="20"/>
  <c r="E104" i="20"/>
  <c r="Q104" i="20" s="1"/>
  <c r="H20" i="26" s="1"/>
  <c r="Q536" i="20"/>
  <c r="J1315" i="8"/>
  <c r="Q941" i="8"/>
  <c r="H241" i="26" s="1"/>
  <c r="Q76" i="20"/>
  <c r="H21" i="26" s="1"/>
  <c r="Q433" i="20"/>
  <c r="O308" i="8"/>
  <c r="Q308" i="8" s="1"/>
  <c r="F28" i="26" s="1"/>
  <c r="Q1111" i="8"/>
  <c r="H265" i="8"/>
  <c r="H1030" i="8"/>
  <c r="F1052" i="8"/>
  <c r="Q1049" i="8"/>
  <c r="Q75" i="8"/>
  <c r="I302" i="2"/>
  <c r="P302" i="2" s="1"/>
  <c r="P300" i="2"/>
  <c r="J954" i="8"/>
  <c r="J1314" i="8"/>
  <c r="Q939" i="8"/>
  <c r="F291" i="8"/>
  <c r="Q1046" i="8"/>
  <c r="J1313" i="20"/>
  <c r="Q938" i="20"/>
  <c r="J185" i="20"/>
  <c r="H76" i="22" s="1"/>
  <c r="J1280" i="20"/>
  <c r="J1296" i="20" s="1"/>
  <c r="G77" i="8"/>
  <c r="Q436" i="8"/>
  <c r="F287" i="20"/>
  <c r="Q1043" i="20"/>
  <c r="I799" i="8"/>
  <c r="Q794" i="8"/>
  <c r="E439" i="3"/>
  <c r="E445" i="3"/>
  <c r="E446" i="3" s="1"/>
  <c r="H1317" i="8"/>
  <c r="Q301" i="8"/>
  <c r="F27" i="26" s="1"/>
  <c r="C39" i="14"/>
  <c r="C51" i="14" s="1"/>
  <c r="P1298" i="20"/>
  <c r="G985" i="8"/>
  <c r="G260" i="8" s="1"/>
  <c r="G258" i="8"/>
  <c r="F21" i="22"/>
  <c r="H22" i="8"/>
  <c r="P1296" i="20"/>
  <c r="P718" i="8"/>
  <c r="P1281" i="8"/>
  <c r="Q70" i="8"/>
  <c r="N87" i="22"/>
  <c r="N91" i="22" s="1"/>
  <c r="L841" i="8"/>
  <c r="Q834" i="8"/>
  <c r="F32" i="26"/>
  <c r="J26" i="8"/>
  <c r="K672" i="8"/>
  <c r="K677" i="8" s="1"/>
  <c r="K162" i="8" s="1"/>
  <c r="I19" i="22" s="1"/>
  <c r="K160" i="8"/>
  <c r="L1276" i="8"/>
  <c r="L1297" i="8"/>
  <c r="M1369" i="8"/>
  <c r="M1370" i="8" s="1"/>
  <c r="H87" i="22"/>
  <c r="H91" i="22" s="1"/>
  <c r="O84" i="22"/>
  <c r="L160" i="8"/>
  <c r="L672" i="8"/>
  <c r="L677" i="8" s="1"/>
  <c r="L162" i="8" s="1"/>
  <c r="L20" i="8" s="1"/>
  <c r="K1369" i="8"/>
  <c r="K1370" i="8" s="1"/>
  <c r="N1369" i="8"/>
  <c r="N1370" i="8" s="1"/>
  <c r="Q349" i="20"/>
  <c r="M89" i="22"/>
  <c r="M91" i="22" s="1"/>
  <c r="L260" i="8"/>
  <c r="O1226" i="8"/>
  <c r="O1316" i="8"/>
  <c r="J1298" i="20"/>
  <c r="Q1273" i="20"/>
  <c r="J1276" i="8"/>
  <c r="M41" i="22"/>
  <c r="Q353" i="8"/>
  <c r="D48" i="14" s="1"/>
  <c r="L1369" i="8"/>
  <c r="L1370" i="8" s="1"/>
  <c r="K1297" i="8"/>
  <c r="M1276" i="8"/>
  <c r="K240" i="26" l="1"/>
  <c r="P958" i="8"/>
  <c r="P253" i="8" s="1"/>
  <c r="P251" i="8"/>
  <c r="N1335" i="8"/>
  <c r="G1335" i="8"/>
  <c r="C118" i="28"/>
  <c r="E118" i="28" s="1"/>
  <c r="C122" i="28"/>
  <c r="E119" i="28"/>
  <c r="C121" i="28"/>
  <c r="E121" i="28" s="1"/>
  <c r="C120" i="28"/>
  <c r="E120" i="28" s="1"/>
  <c r="L1335" i="8"/>
  <c r="G1337" i="8"/>
  <c r="L1336" i="8"/>
  <c r="C135" i="28"/>
  <c r="C137" i="28"/>
  <c r="E136" i="28"/>
  <c r="H1335" i="8"/>
  <c r="N1337" i="8"/>
  <c r="Q1275" i="8"/>
  <c r="K1335" i="8"/>
  <c r="L1337" i="8"/>
  <c r="E247" i="26"/>
  <c r="K241" i="26"/>
  <c r="G76" i="26"/>
  <c r="I76" i="26" s="1"/>
  <c r="E59" i="26"/>
  <c r="E58" i="26"/>
  <c r="E219" i="28"/>
  <c r="C220" i="28"/>
  <c r="L28" i="22"/>
  <c r="N1336" i="8"/>
  <c r="E28" i="22"/>
  <c r="G1336" i="8"/>
  <c r="J20" i="8"/>
  <c r="J1336" i="8"/>
  <c r="K1337" i="8"/>
  <c r="K1336" i="8"/>
  <c r="H1336" i="8"/>
  <c r="G76" i="22"/>
  <c r="E22" i="14"/>
  <c r="G22" i="14" s="1"/>
  <c r="F18" i="26"/>
  <c r="H22" i="14"/>
  <c r="H18" i="26"/>
  <c r="K76" i="22"/>
  <c r="P1283" i="8"/>
  <c r="P1284" i="8" s="1"/>
  <c r="H28" i="22"/>
  <c r="Q187" i="8"/>
  <c r="D30" i="14" s="1"/>
  <c r="F30" i="14" s="1"/>
  <c r="F51" i="14" s="1"/>
  <c r="F63" i="14" s="1"/>
  <c r="I43" i="22"/>
  <c r="H37" i="22"/>
  <c r="H39" i="22" s="1"/>
  <c r="H43" i="22" s="1"/>
  <c r="I20" i="8"/>
  <c r="P20" i="8"/>
  <c r="J19" i="22"/>
  <c r="H19" i="22"/>
  <c r="I105" i="26"/>
  <c r="H20" i="8"/>
  <c r="F43" i="22"/>
  <c r="E219" i="26"/>
  <c r="D19" i="22"/>
  <c r="F20" i="8"/>
  <c r="N20" i="8"/>
  <c r="L19" i="22"/>
  <c r="E19" i="22"/>
  <c r="G20" i="8"/>
  <c r="M20" i="8"/>
  <c r="K19" i="22"/>
  <c r="K20" i="8"/>
  <c r="M19" i="22"/>
  <c r="O20" i="8"/>
  <c r="A79" i="2"/>
  <c r="A80" i="2" s="1"/>
  <c r="A81" i="2" s="1"/>
  <c r="A83" i="2" s="1"/>
  <c r="A84" i="2" s="1"/>
  <c r="A85" i="2" s="1"/>
  <c r="A86" i="2" s="1"/>
  <c r="A87" i="2" s="1"/>
  <c r="A89" i="2" s="1"/>
  <c r="A90" i="2" s="1"/>
  <c r="A91" i="2" s="1"/>
  <c r="A92" i="2" s="1"/>
  <c r="A93" i="2" s="1"/>
  <c r="A95" i="2" s="1"/>
  <c r="A96" i="2" s="1"/>
  <c r="A97" i="2" s="1"/>
  <c r="A98" i="2" s="1"/>
  <c r="A99" i="2" s="1"/>
  <c r="A119" i="2" s="1"/>
  <c r="A120" i="2" s="1"/>
  <c r="I111" i="26"/>
  <c r="H217" i="26"/>
  <c r="E42" i="26"/>
  <c r="L27" i="8"/>
  <c r="I27" i="8"/>
  <c r="I34" i="8" s="1"/>
  <c r="H218" i="26"/>
  <c r="I107" i="26"/>
  <c r="H244" i="26"/>
  <c r="H246" i="26"/>
  <c r="H216" i="26"/>
  <c r="H215" i="26"/>
  <c r="H239" i="26"/>
  <c r="O1334" i="20"/>
  <c r="K1334" i="20"/>
  <c r="G1334" i="20"/>
  <c r="J1334" i="20"/>
  <c r="P1334" i="20"/>
  <c r="I1334" i="20"/>
  <c r="I16" i="26"/>
  <c r="I19" i="26"/>
  <c r="G180" i="26"/>
  <c r="M28" i="8"/>
  <c r="M34" i="8" s="1"/>
  <c r="K1276" i="8"/>
  <c r="F20" i="22"/>
  <c r="E21" i="14"/>
  <c r="E19" i="19" s="1"/>
  <c r="L43" i="22"/>
  <c r="L1058" i="8"/>
  <c r="L294" i="8" s="1"/>
  <c r="L28" i="8" s="1"/>
  <c r="P189" i="8"/>
  <c r="N28" i="22" s="1"/>
  <c r="E28" i="14"/>
  <c r="G28" i="14" s="1"/>
  <c r="G26" i="26"/>
  <c r="I26" i="26" s="1"/>
  <c r="J1282" i="8"/>
  <c r="J1298" i="8" s="1"/>
  <c r="J1302" i="8" s="1"/>
  <c r="Q914" i="8"/>
  <c r="M722" i="8"/>
  <c r="M727" i="8" s="1"/>
  <c r="M190" i="8" s="1"/>
  <c r="M1337" i="8" s="1"/>
  <c r="G19" i="26"/>
  <c r="E23" i="14"/>
  <c r="G23" i="14" s="1"/>
  <c r="G1369" i="8"/>
  <c r="G1370" i="8" s="1"/>
  <c r="M1323" i="8"/>
  <c r="I265" i="8"/>
  <c r="I1339" i="8" s="1"/>
  <c r="E1300" i="8"/>
  <c r="H21" i="8"/>
  <c r="H28" i="14"/>
  <c r="L1298" i="8"/>
  <c r="L1302" i="8" s="1"/>
  <c r="P445" i="3"/>
  <c r="Q1281" i="20"/>
  <c r="P446" i="3"/>
  <c r="Q723" i="20"/>
  <c r="J20" i="22"/>
  <c r="L21" i="8"/>
  <c r="Q725" i="8"/>
  <c r="Q158" i="20"/>
  <c r="R1369" i="8"/>
  <c r="R1370" i="8" s="1"/>
  <c r="I188" i="8"/>
  <c r="L1317" i="8"/>
  <c r="I160" i="8"/>
  <c r="R1363" i="8"/>
  <c r="R1364" i="8" s="1"/>
  <c r="Q1272" i="20"/>
  <c r="Q1369" i="8"/>
  <c r="Q1370" i="8" s="1"/>
  <c r="Q668" i="8"/>
  <c r="P181" i="3"/>
  <c r="I1300" i="8"/>
  <c r="H148" i="8"/>
  <c r="H1337" i="8" s="1"/>
  <c r="Q611" i="8"/>
  <c r="G1284" i="8"/>
  <c r="H1322" i="8"/>
  <c r="H1323" i="8" s="1"/>
  <c r="H145" i="20"/>
  <c r="Q145" i="20" s="1"/>
  <c r="Q609" i="20"/>
  <c r="G1302" i="8"/>
  <c r="I722" i="8"/>
  <c r="I727" i="8" s="1"/>
  <c r="I190" i="8" s="1"/>
  <c r="P439" i="3"/>
  <c r="G38" i="14"/>
  <c r="R1268" i="8"/>
  <c r="H1298" i="8"/>
  <c r="H1302" i="8" s="1"/>
  <c r="Q1298" i="20"/>
  <c r="O722" i="8"/>
  <c r="O727" i="8" s="1"/>
  <c r="O190" i="8" s="1"/>
  <c r="O1337" i="8" s="1"/>
  <c r="O188" i="8"/>
  <c r="O1335" i="8" s="1"/>
  <c r="M1283" i="8"/>
  <c r="M1300" i="8" s="1"/>
  <c r="C41" i="22"/>
  <c r="C43" i="22" s="1"/>
  <c r="Q257" i="8"/>
  <c r="D40" i="14" s="1"/>
  <c r="O189" i="8"/>
  <c r="M28" i="22" s="1"/>
  <c r="O1282" i="8"/>
  <c r="O1298" i="8" s="1"/>
  <c r="F1280" i="20"/>
  <c r="F1296" i="20" s="1"/>
  <c r="F185" i="20"/>
  <c r="D76" i="22" s="1"/>
  <c r="C85" i="22"/>
  <c r="Q183" i="20"/>
  <c r="F1297" i="8"/>
  <c r="P1328" i="8"/>
  <c r="P1331" i="8" s="1"/>
  <c r="P1317" i="8"/>
  <c r="Q720" i="8"/>
  <c r="F96" i="26" s="1"/>
  <c r="F101" i="26" s="1"/>
  <c r="Q161" i="8"/>
  <c r="I1276" i="8"/>
  <c r="O1322" i="8"/>
  <c r="O1323" i="8" s="1"/>
  <c r="O1054" i="8"/>
  <c r="Q979" i="8"/>
  <c r="E981" i="8"/>
  <c r="E1322" i="8"/>
  <c r="E1323" i="8" s="1"/>
  <c r="O1297" i="8"/>
  <c r="N292" i="8"/>
  <c r="N1058" i="8"/>
  <c r="N294" i="8" s="1"/>
  <c r="N28" i="8" s="1"/>
  <c r="G1316" i="8"/>
  <c r="G1226" i="8"/>
  <c r="Q1226" i="8" s="1"/>
  <c r="H292" i="8"/>
  <c r="H1058" i="8"/>
  <c r="H294" i="8" s="1"/>
  <c r="M1282" i="8"/>
  <c r="M189" i="8"/>
  <c r="Q252" i="20"/>
  <c r="O1283" i="8"/>
  <c r="O1300" i="8" s="1"/>
  <c r="N1328" i="8"/>
  <c r="N1331" i="8" s="1"/>
  <c r="N1317" i="8"/>
  <c r="H258" i="8"/>
  <c r="H985" i="8"/>
  <c r="H260" i="8" s="1"/>
  <c r="E185" i="20"/>
  <c r="C76" i="22" s="1"/>
  <c r="E1280" i="20"/>
  <c r="E1296" i="20" s="1"/>
  <c r="F258" i="8"/>
  <c r="F985" i="8"/>
  <c r="F260" i="8" s="1"/>
  <c r="I1296" i="20"/>
  <c r="M188" i="8"/>
  <c r="M1335" i="8" s="1"/>
  <c r="F189" i="8"/>
  <c r="D28" i="22" s="1"/>
  <c r="F1282" i="8"/>
  <c r="F1298" i="8" s="1"/>
  <c r="P30" i="23"/>
  <c r="P56" i="23" s="1"/>
  <c r="D56" i="23"/>
  <c r="I1282" i="8"/>
  <c r="I1284" i="8" s="1"/>
  <c r="I189" i="8"/>
  <c r="G28" i="22" s="1"/>
  <c r="Q718" i="20"/>
  <c r="H96" i="26" s="1"/>
  <c r="H101" i="26" s="1"/>
  <c r="N354" i="8"/>
  <c r="N1230" i="8"/>
  <c r="N356" i="8" s="1"/>
  <c r="N27" i="8" s="1"/>
  <c r="J1230" i="8"/>
  <c r="J356" i="8" s="1"/>
  <c r="J354" i="8"/>
  <c r="F1283" i="8"/>
  <c r="F1300" i="8" s="1"/>
  <c r="F1369" i="8"/>
  <c r="F1370" i="8" s="1"/>
  <c r="E1276" i="8"/>
  <c r="F1316" i="8"/>
  <c r="F1317" i="8" s="1"/>
  <c r="F1026" i="8"/>
  <c r="E1316" i="8"/>
  <c r="E1026" i="8"/>
  <c r="Q1024" i="8"/>
  <c r="N1298" i="8"/>
  <c r="N1302" i="8" s="1"/>
  <c r="N1276" i="8"/>
  <c r="O1369" i="8"/>
  <c r="O1370" i="8" s="1"/>
  <c r="K1316" i="8"/>
  <c r="K1026" i="8"/>
  <c r="G1054" i="8"/>
  <c r="G1322" i="8"/>
  <c r="G1323" i="8" s="1"/>
  <c r="K1058" i="8"/>
  <c r="K294" i="8" s="1"/>
  <c r="K28" i="8" s="1"/>
  <c r="K292" i="8"/>
  <c r="E1281" i="8"/>
  <c r="Q1281" i="8" s="1"/>
  <c r="E718" i="8"/>
  <c r="Q718" i="8" s="1"/>
  <c r="F188" i="8"/>
  <c r="F1335" i="8" s="1"/>
  <c r="F722" i="8"/>
  <c r="F727" i="8" s="1"/>
  <c r="F190" i="8" s="1"/>
  <c r="F1337" i="8" s="1"/>
  <c r="E1282" i="8"/>
  <c r="E1298" i="8" s="1"/>
  <c r="E189" i="8"/>
  <c r="C28" i="22" s="1"/>
  <c r="P265" i="8"/>
  <c r="P1339" i="8" s="1"/>
  <c r="P1030" i="8"/>
  <c r="P267" i="8" s="1"/>
  <c r="G32" i="26"/>
  <c r="I32" i="26" s="1"/>
  <c r="H49" i="14"/>
  <c r="E47" i="14"/>
  <c r="G47" i="14" s="1"/>
  <c r="M1331" i="8"/>
  <c r="L1331" i="8"/>
  <c r="G24" i="22"/>
  <c r="G31" i="26"/>
  <c r="I31" i="26" s="1"/>
  <c r="H24" i="26"/>
  <c r="H47" i="14"/>
  <c r="E18" i="22"/>
  <c r="I1331" i="8"/>
  <c r="G19" i="8"/>
  <c r="F19" i="8"/>
  <c r="H23" i="14"/>
  <c r="H25" i="14"/>
  <c r="H46" i="14"/>
  <c r="E20" i="22"/>
  <c r="G21" i="8"/>
  <c r="H29" i="26"/>
  <c r="E51" i="19" s="1"/>
  <c r="H45" i="14"/>
  <c r="Q1295" i="8"/>
  <c r="I1341" i="8"/>
  <c r="Q237" i="8"/>
  <c r="K24" i="22"/>
  <c r="M1341" i="8"/>
  <c r="L20" i="22"/>
  <c r="N21" i="8"/>
  <c r="H22" i="26"/>
  <c r="G22" i="26" s="1"/>
  <c r="I22" i="26" s="1"/>
  <c r="H21" i="14"/>
  <c r="F30" i="26"/>
  <c r="E46" i="14"/>
  <c r="D18" i="22"/>
  <c r="G239" i="8"/>
  <c r="Q239" i="8" s="1"/>
  <c r="E37" i="14" s="1"/>
  <c r="G37" i="14" s="1"/>
  <c r="Q869" i="8"/>
  <c r="F29" i="26"/>
  <c r="E45" i="14"/>
  <c r="K1302" i="8"/>
  <c r="F20" i="26"/>
  <c r="G181" i="26" s="1"/>
  <c r="E24" i="14"/>
  <c r="G24" i="14" s="1"/>
  <c r="G28" i="26"/>
  <c r="I28" i="26" s="1"/>
  <c r="F24" i="26"/>
  <c r="E26" i="14"/>
  <c r="G26" i="14" s="1"/>
  <c r="I26" i="14" s="1"/>
  <c r="J26" i="14" s="1"/>
  <c r="Q1296" i="8"/>
  <c r="K21" i="8"/>
  <c r="I20" i="22"/>
  <c r="F23" i="26"/>
  <c r="E25" i="14"/>
  <c r="G25" i="14" s="1"/>
  <c r="E31" i="14"/>
  <c r="L1339" i="8"/>
  <c r="I204" i="8"/>
  <c r="Q799" i="8"/>
  <c r="Q77" i="8"/>
  <c r="J958" i="8"/>
  <c r="J251" i="8"/>
  <c r="Q954" i="8"/>
  <c r="E44" i="14"/>
  <c r="J1327" i="8"/>
  <c r="Q1327" i="8" s="1"/>
  <c r="Q1315" i="8"/>
  <c r="D89" i="22"/>
  <c r="D91" i="22" s="1"/>
  <c r="Q287" i="20"/>
  <c r="D41" i="22"/>
  <c r="D43" i="22" s="1"/>
  <c r="Q291" i="8"/>
  <c r="D42" i="14" s="1"/>
  <c r="H267" i="8"/>
  <c r="H27" i="8" s="1"/>
  <c r="H24" i="14"/>
  <c r="H44" i="14"/>
  <c r="E43" i="14"/>
  <c r="J1325" i="20"/>
  <c r="Q1325" i="20" s="1"/>
  <c r="Q1313" i="20"/>
  <c r="H20" i="14"/>
  <c r="J1326" i="8"/>
  <c r="J1317" i="8"/>
  <c r="Q1314" i="8"/>
  <c r="F1322" i="8"/>
  <c r="F1054" i="8"/>
  <c r="Q1052" i="8"/>
  <c r="J188" i="8"/>
  <c r="J1335" i="8" s="1"/>
  <c r="J722" i="8"/>
  <c r="J727" i="8" s="1"/>
  <c r="J190" i="8" s="1"/>
  <c r="J1337" i="8" s="1"/>
  <c r="Q672" i="8"/>
  <c r="N39" i="22"/>
  <c r="N43" i="22" s="1"/>
  <c r="L232" i="8"/>
  <c r="Q841" i="8"/>
  <c r="P722" i="8"/>
  <c r="P188" i="8"/>
  <c r="P1335" i="8" s="1"/>
  <c r="E49" i="14"/>
  <c r="E19" i="14"/>
  <c r="G19" i="14" s="1"/>
  <c r="P1298" i="8"/>
  <c r="P1297" i="8"/>
  <c r="O1317" i="8"/>
  <c r="M43" i="22"/>
  <c r="O1230" i="8"/>
  <c r="O354" i="8"/>
  <c r="E162" i="8"/>
  <c r="Q677" i="8"/>
  <c r="G1338" i="8" l="1"/>
  <c r="I22" i="14"/>
  <c r="J22" i="14" s="1"/>
  <c r="N1338" i="8"/>
  <c r="H1338" i="8"/>
  <c r="I1337" i="8"/>
  <c r="C138" i="28"/>
  <c r="E137" i="28"/>
  <c r="E122" i="28"/>
  <c r="C124" i="28"/>
  <c r="F58" i="26"/>
  <c r="F158" i="26" s="1"/>
  <c r="F118" i="26"/>
  <c r="F147" i="26" s="1"/>
  <c r="E124" i="28"/>
  <c r="D51" i="14"/>
  <c r="Q160" i="8"/>
  <c r="I1335" i="8"/>
  <c r="L1338" i="8"/>
  <c r="E1336" i="8"/>
  <c r="F59" i="26"/>
  <c r="G158" i="26" s="1"/>
  <c r="E78" i="26"/>
  <c r="C69" i="28"/>
  <c r="E65" i="28"/>
  <c r="E220" i="28"/>
  <c r="C221" i="28"/>
  <c r="C169" i="28"/>
  <c r="C170" i="28" s="1"/>
  <c r="E166" i="28"/>
  <c r="F1336" i="8"/>
  <c r="I1336" i="8"/>
  <c r="K1338" i="8"/>
  <c r="K28" i="22"/>
  <c r="M1336" i="8"/>
  <c r="J1338" i="8"/>
  <c r="P1336" i="8"/>
  <c r="O1336" i="8"/>
  <c r="P1300" i="8"/>
  <c r="Q1300" i="8" s="1"/>
  <c r="M365" i="8"/>
  <c r="M377" i="8" s="1"/>
  <c r="N365" i="8"/>
  <c r="N377" i="8" s="1"/>
  <c r="L365" i="8"/>
  <c r="L377" i="8" s="1"/>
  <c r="H365" i="8"/>
  <c r="H377" i="8" s="1"/>
  <c r="I365" i="8"/>
  <c r="I377" i="8" s="1"/>
  <c r="O37" i="22"/>
  <c r="O39" i="22" s="1"/>
  <c r="F21" i="26"/>
  <c r="G21" i="26" s="1"/>
  <c r="I21" i="26" s="1"/>
  <c r="C19" i="22"/>
  <c r="E20" i="8"/>
  <c r="A121" i="2"/>
  <c r="A122" i="2" s="1"/>
  <c r="A124" i="2" s="1"/>
  <c r="A125" i="2" s="1"/>
  <c r="A126" i="2" s="1"/>
  <c r="A127" i="2" s="1"/>
  <c r="A128" i="2" s="1"/>
  <c r="A130" i="2" s="1"/>
  <c r="A131" i="2" s="1"/>
  <c r="A132" i="2" s="1"/>
  <c r="A133" i="2" s="1"/>
  <c r="A134" i="2" s="1"/>
  <c r="A136" i="2" s="1"/>
  <c r="A137" i="2" s="1"/>
  <c r="A138" i="2" s="1"/>
  <c r="A139" i="2" s="1"/>
  <c r="A140" i="2" s="1"/>
  <c r="A142" i="2" s="1"/>
  <c r="A143" i="2" s="1"/>
  <c r="A144" i="2" s="1"/>
  <c r="A145" i="2" s="1"/>
  <c r="A146" i="2" s="1"/>
  <c r="H219" i="26"/>
  <c r="I215" i="26" s="1"/>
  <c r="H247" i="26"/>
  <c r="I245" i="26" s="1"/>
  <c r="G204" i="26"/>
  <c r="G96" i="26"/>
  <c r="E1334" i="20"/>
  <c r="H118" i="26"/>
  <c r="F148" i="26" s="1"/>
  <c r="F1334" i="20"/>
  <c r="G278" i="26"/>
  <c r="G23" i="26"/>
  <c r="I23" i="26" s="1"/>
  <c r="G30" i="26"/>
  <c r="I30" i="26" s="1"/>
  <c r="H28" i="8"/>
  <c r="P27" i="8"/>
  <c r="P34" i="8" s="1"/>
  <c r="G21" i="14"/>
  <c r="I21" i="14" s="1"/>
  <c r="J21" i="14" s="1"/>
  <c r="I21" i="8"/>
  <c r="I28" i="14"/>
  <c r="J28" i="14" s="1"/>
  <c r="J22" i="22"/>
  <c r="G18" i="26"/>
  <c r="I18" i="26" s="1"/>
  <c r="J1284" i="8"/>
  <c r="L23" i="8"/>
  <c r="M21" i="8"/>
  <c r="M23" i="8" s="1"/>
  <c r="M36" i="8" s="1"/>
  <c r="Q185" i="20"/>
  <c r="Q1276" i="8"/>
  <c r="Q1316" i="8"/>
  <c r="Q1317" i="8" s="1"/>
  <c r="G20" i="22"/>
  <c r="E35" i="19"/>
  <c r="G24" i="26"/>
  <c r="I24" i="26" s="1"/>
  <c r="P1341" i="8"/>
  <c r="P1342" i="8" s="1"/>
  <c r="H1328" i="8"/>
  <c r="H1331" i="8" s="1"/>
  <c r="Q1280" i="20"/>
  <c r="H19" i="8"/>
  <c r="H23" i="8" s="1"/>
  <c r="Q148" i="8"/>
  <c r="R19" i="8" s="1"/>
  <c r="F18" i="22"/>
  <c r="F22" i="22" s="1"/>
  <c r="K20" i="22"/>
  <c r="K22" i="22" s="1"/>
  <c r="K27" i="22" s="1"/>
  <c r="O89" i="22"/>
  <c r="H25" i="26"/>
  <c r="H27" i="14"/>
  <c r="N24" i="22"/>
  <c r="Q1296" i="20"/>
  <c r="O1284" i="8"/>
  <c r="N34" i="8"/>
  <c r="H1339" i="8"/>
  <c r="L24" i="22"/>
  <c r="N1341" i="8"/>
  <c r="N1343" i="8" s="1"/>
  <c r="N1339" i="8"/>
  <c r="L22" i="22"/>
  <c r="E265" i="8"/>
  <c r="E1030" i="8"/>
  <c r="Q1026" i="8"/>
  <c r="F1030" i="8"/>
  <c r="F267" i="8" s="1"/>
  <c r="F27" i="8" s="1"/>
  <c r="F265" i="8"/>
  <c r="F1302" i="8"/>
  <c r="F1338" i="8" s="1"/>
  <c r="Q189" i="8"/>
  <c r="E1297" i="8"/>
  <c r="E1284" i="8"/>
  <c r="G1058" i="8"/>
  <c r="G294" i="8" s="1"/>
  <c r="G292" i="8"/>
  <c r="E1317" i="8"/>
  <c r="E1328" i="8"/>
  <c r="E1331" i="8" s="1"/>
  <c r="O1302" i="8"/>
  <c r="O1338" i="8" s="1"/>
  <c r="E985" i="8"/>
  <c r="E258" i="8"/>
  <c r="Q981" i="8"/>
  <c r="E722" i="8"/>
  <c r="E727" i="8" s="1"/>
  <c r="E190" i="8" s="1"/>
  <c r="E1337" i="8" s="1"/>
  <c r="E188" i="8"/>
  <c r="E1335" i="8" s="1"/>
  <c r="G1317" i="8"/>
  <c r="G1328" i="8"/>
  <c r="G1331" i="8" s="1"/>
  <c r="C87" i="22"/>
  <c r="C91" i="22" s="1"/>
  <c r="O91" i="22" s="1"/>
  <c r="O85" i="22"/>
  <c r="O87" i="22" s="1"/>
  <c r="M20" i="22"/>
  <c r="M22" i="22" s="1"/>
  <c r="O21" i="8"/>
  <c r="O23" i="8" s="1"/>
  <c r="Q1283" i="8"/>
  <c r="O41" i="22"/>
  <c r="O1328" i="8"/>
  <c r="O1331" i="8" s="1"/>
  <c r="N23" i="8"/>
  <c r="K265" i="8"/>
  <c r="K1339" i="8" s="1"/>
  <c r="K1030" i="8"/>
  <c r="K267" i="8" s="1"/>
  <c r="I1298" i="8"/>
  <c r="I1302" i="8" s="1"/>
  <c r="M1284" i="8"/>
  <c r="M1298" i="8"/>
  <c r="M1302" i="8" s="1"/>
  <c r="M1338" i="8" s="1"/>
  <c r="O43" i="22"/>
  <c r="Q1282" i="8"/>
  <c r="K1328" i="8"/>
  <c r="K1331" i="8" s="1"/>
  <c r="K1317" i="8"/>
  <c r="G354" i="8"/>
  <c r="Q354" i="8" s="1"/>
  <c r="G1230" i="8"/>
  <c r="G356" i="8" s="1"/>
  <c r="G27" i="8" s="1"/>
  <c r="O1058" i="8"/>
  <c r="O294" i="8" s="1"/>
  <c r="O28" i="8" s="1"/>
  <c r="O292" i="8"/>
  <c r="O1339" i="8" s="1"/>
  <c r="F1284" i="8"/>
  <c r="M1342" i="8"/>
  <c r="I47" i="14"/>
  <c r="J47" i="14" s="1"/>
  <c r="E22" i="22"/>
  <c r="G23" i="8"/>
  <c r="I25" i="14"/>
  <c r="J25" i="14" s="1"/>
  <c r="I1342" i="8"/>
  <c r="M1343" i="8"/>
  <c r="I23" i="14"/>
  <c r="J23" i="14" s="1"/>
  <c r="E25" i="19"/>
  <c r="I24" i="14"/>
  <c r="J24" i="14" s="1"/>
  <c r="G29" i="26"/>
  <c r="I29" i="26" s="1"/>
  <c r="I22" i="22"/>
  <c r="K23" i="8"/>
  <c r="E33" i="19"/>
  <c r="G45" i="14"/>
  <c r="I45" i="14" s="1"/>
  <c r="J45" i="14" s="1"/>
  <c r="G20" i="26"/>
  <c r="I20" i="26" s="1"/>
  <c r="E34" i="19"/>
  <c r="G46" i="14"/>
  <c r="I46" i="14" s="1"/>
  <c r="J46" i="14" s="1"/>
  <c r="G31" i="14"/>
  <c r="E22" i="19"/>
  <c r="L1341" i="8"/>
  <c r="L1342" i="8" s="1"/>
  <c r="J24" i="22"/>
  <c r="F1058" i="8"/>
  <c r="F292" i="8"/>
  <c r="Q1054" i="8"/>
  <c r="Q1326" i="8"/>
  <c r="J1331" i="8"/>
  <c r="J1339" i="8"/>
  <c r="Q251" i="8"/>
  <c r="H20" i="22"/>
  <c r="H22" i="22" s="1"/>
  <c r="J21" i="8"/>
  <c r="J23" i="8" s="1"/>
  <c r="F1323" i="8"/>
  <c r="F1328" i="8"/>
  <c r="F1331" i="8" s="1"/>
  <c r="Q1322" i="8"/>
  <c r="Q1323" i="8" s="1"/>
  <c r="E32" i="19"/>
  <c r="G44" i="14"/>
  <c r="I44" i="14" s="1"/>
  <c r="J44" i="14" s="1"/>
  <c r="J253" i="8"/>
  <c r="J365" i="8" s="1"/>
  <c r="Q958" i="8"/>
  <c r="E20" i="14"/>
  <c r="I22" i="8"/>
  <c r="G21" i="22"/>
  <c r="Q204" i="8"/>
  <c r="F17" i="26" s="1"/>
  <c r="G43" i="14"/>
  <c r="E31" i="19"/>
  <c r="F24" i="22"/>
  <c r="H1341" i="8"/>
  <c r="P1302" i="8"/>
  <c r="E17" i="19"/>
  <c r="P727" i="8"/>
  <c r="E37" i="19"/>
  <c r="G49" i="14"/>
  <c r="I49" i="14" s="1"/>
  <c r="J49" i="14" s="1"/>
  <c r="L26" i="8"/>
  <c r="Q26" i="8" s="1"/>
  <c r="Q232" i="8"/>
  <c r="F13" i="26" s="1"/>
  <c r="Q162" i="8"/>
  <c r="O356" i="8"/>
  <c r="O27" i="8" s="1"/>
  <c r="D20" i="22"/>
  <c r="F21" i="8"/>
  <c r="I1338" i="8" l="1"/>
  <c r="E138" i="28"/>
  <c r="C139" i="28"/>
  <c r="F150" i="26"/>
  <c r="R20" i="8"/>
  <c r="I244" i="26"/>
  <c r="D147" i="26"/>
  <c r="E221" i="28"/>
  <c r="E223" i="28" s="1"/>
  <c r="C223" i="28"/>
  <c r="C231" i="28" s="1"/>
  <c r="C232" i="28" s="1"/>
  <c r="C233" i="28" s="1"/>
  <c r="E169" i="28"/>
  <c r="C72" i="28"/>
  <c r="C71" i="28"/>
  <c r="E71" i="28" s="1"/>
  <c r="C70" i="28"/>
  <c r="E70" i="28" s="1"/>
  <c r="E69" i="28"/>
  <c r="Q1336" i="8"/>
  <c r="D148" i="26"/>
  <c r="I96" i="26"/>
  <c r="G101" i="26"/>
  <c r="I101" i="26" s="1"/>
  <c r="G262" i="26"/>
  <c r="K27" i="8"/>
  <c r="K34" i="8" s="1"/>
  <c r="K36" i="8" s="1"/>
  <c r="K365" i="8"/>
  <c r="K377" i="8" s="1"/>
  <c r="G28" i="8"/>
  <c r="G34" i="8" s="1"/>
  <c r="G36" i="8" s="1"/>
  <c r="G365" i="8"/>
  <c r="G377" i="8" s="1"/>
  <c r="O365" i="8"/>
  <c r="O377" i="8" s="1"/>
  <c r="I217" i="26"/>
  <c r="I218" i="26"/>
  <c r="I216" i="26"/>
  <c r="I246" i="26"/>
  <c r="D158" i="26"/>
  <c r="I159" i="26" s="1"/>
  <c r="F78" i="26"/>
  <c r="G205" i="26"/>
  <c r="F121" i="26"/>
  <c r="Q1284" i="8"/>
  <c r="G118" i="26"/>
  <c r="H121" i="26"/>
  <c r="R26" i="8"/>
  <c r="J377" i="8"/>
  <c r="J27" i="8"/>
  <c r="J34" i="8" s="1"/>
  <c r="J36" i="8" s="1"/>
  <c r="J27" i="22"/>
  <c r="J30" i="22" s="1"/>
  <c r="O18" i="22"/>
  <c r="Q1334" i="20"/>
  <c r="H34" i="8"/>
  <c r="H36" i="8" s="1"/>
  <c r="Q1230" i="8"/>
  <c r="Q19" i="8"/>
  <c r="O76" i="22"/>
  <c r="O28" i="22"/>
  <c r="Q188" i="8"/>
  <c r="Q1335" i="8" s="1"/>
  <c r="F25" i="26"/>
  <c r="E27" i="14"/>
  <c r="G27" i="14" s="1"/>
  <c r="I27" i="14" s="1"/>
  <c r="J27" i="14" s="1"/>
  <c r="Q1328" i="8"/>
  <c r="Q1331" i="8" s="1"/>
  <c r="F27" i="22"/>
  <c r="F30" i="22" s="1"/>
  <c r="N36" i="8"/>
  <c r="N1342" i="8"/>
  <c r="L27" i="22"/>
  <c r="L30" i="22" s="1"/>
  <c r="E21" i="8"/>
  <c r="E23" i="8" s="1"/>
  <c r="C20" i="22"/>
  <c r="C22" i="22" s="1"/>
  <c r="Q722" i="8"/>
  <c r="G1341" i="8"/>
  <c r="I24" i="22"/>
  <c r="I27" i="22" s="1"/>
  <c r="I30" i="22" s="1"/>
  <c r="K1341" i="8"/>
  <c r="E260" i="8"/>
  <c r="Q985" i="8"/>
  <c r="E267" i="8"/>
  <c r="E27" i="8" s="1"/>
  <c r="Q1030" i="8"/>
  <c r="E24" i="22"/>
  <c r="E27" i="22" s="1"/>
  <c r="E30" i="22" s="1"/>
  <c r="E1302" i="8"/>
  <c r="E1338" i="8" s="1"/>
  <c r="Q1297" i="8"/>
  <c r="Q265" i="8"/>
  <c r="E1339" i="8"/>
  <c r="Q258" i="8"/>
  <c r="K30" i="22"/>
  <c r="G1339" i="8"/>
  <c r="Q1298" i="8"/>
  <c r="L1343" i="8"/>
  <c r="F1339" i="8"/>
  <c r="Q292" i="8"/>
  <c r="G22" i="22"/>
  <c r="G27" i="22" s="1"/>
  <c r="G30" i="22" s="1"/>
  <c r="O21" i="22"/>
  <c r="F294" i="8"/>
  <c r="F28" i="8" s="1"/>
  <c r="Q1058" i="8"/>
  <c r="H1342" i="8"/>
  <c r="H1343" i="8"/>
  <c r="E32" i="14"/>
  <c r="I23" i="8"/>
  <c r="I36" i="8" s="1"/>
  <c r="Q22" i="8"/>
  <c r="H24" i="22"/>
  <c r="H27" i="22" s="1"/>
  <c r="H30" i="22" s="1"/>
  <c r="J1341" i="8"/>
  <c r="J1343" i="8" s="1"/>
  <c r="Q253" i="8"/>
  <c r="I1343" i="8"/>
  <c r="G20" i="14"/>
  <c r="I20" i="14" s="1"/>
  <c r="J20" i="14" s="1"/>
  <c r="E18" i="19"/>
  <c r="L34" i="8"/>
  <c r="L36" i="8" s="1"/>
  <c r="E36" i="14"/>
  <c r="P190" i="8"/>
  <c r="P1337" i="8" s="1"/>
  <c r="P1338" i="8" s="1"/>
  <c r="Q727" i="8"/>
  <c r="Q20" i="8"/>
  <c r="O19" i="22"/>
  <c r="D22" i="22"/>
  <c r="E29" i="14"/>
  <c r="G29" i="14" s="1"/>
  <c r="F23" i="8"/>
  <c r="O1341" i="8"/>
  <c r="O1342" i="8" s="1"/>
  <c r="M24" i="22"/>
  <c r="Q356" i="8"/>
  <c r="E139" i="28" l="1"/>
  <c r="C141" i="28"/>
  <c r="I247" i="26"/>
  <c r="E72" i="28"/>
  <c r="C74" i="28"/>
  <c r="C81" i="28" s="1"/>
  <c r="C85" i="28" s="1"/>
  <c r="C86" i="28" s="1"/>
  <c r="E232" i="28"/>
  <c r="F365" i="8"/>
  <c r="F377" i="8" s="1"/>
  <c r="P365" i="8"/>
  <c r="P377" i="8" s="1"/>
  <c r="E28" i="8"/>
  <c r="E365" i="8"/>
  <c r="E377" i="8" s="1"/>
  <c r="I219" i="26"/>
  <c r="H159" i="26"/>
  <c r="G159" i="26"/>
  <c r="F159" i="26"/>
  <c r="G121" i="26"/>
  <c r="I121" i="26" s="1"/>
  <c r="I118" i="26"/>
  <c r="G173" i="26"/>
  <c r="G25" i="26"/>
  <c r="I25" i="26" s="1"/>
  <c r="R22" i="8"/>
  <c r="K1342" i="8"/>
  <c r="K1343" i="8"/>
  <c r="Q1339" i="8"/>
  <c r="C24" i="22"/>
  <c r="C27" i="22" s="1"/>
  <c r="C30" i="22" s="1"/>
  <c r="E1341" i="8"/>
  <c r="Q260" i="8"/>
  <c r="G1342" i="8"/>
  <c r="G1343" i="8"/>
  <c r="Q1302" i="8"/>
  <c r="Q267" i="8"/>
  <c r="E41" i="14" s="1"/>
  <c r="E39" i="14"/>
  <c r="E27" i="19" s="1"/>
  <c r="J1342" i="8"/>
  <c r="G32" i="14"/>
  <c r="E23" i="19"/>
  <c r="F1341" i="8"/>
  <c r="D24" i="22"/>
  <c r="D27" i="22" s="1"/>
  <c r="D30" i="22" s="1"/>
  <c r="Q294" i="8"/>
  <c r="E42" i="14" s="1"/>
  <c r="E24" i="19"/>
  <c r="G36" i="14"/>
  <c r="N20" i="22"/>
  <c r="P21" i="8"/>
  <c r="Q190" i="8"/>
  <c r="M27" i="22"/>
  <c r="M30" i="22" s="1"/>
  <c r="O34" i="8"/>
  <c r="O36" i="8" s="1"/>
  <c r="E20" i="19"/>
  <c r="E48" i="14"/>
  <c r="O1343" i="8"/>
  <c r="Q1337" i="8" l="1"/>
  <c r="Q1338" i="8" s="1"/>
  <c r="F14" i="26"/>
  <c r="E74" i="28"/>
  <c r="E170" i="28"/>
  <c r="C171" i="28"/>
  <c r="E85" i="28"/>
  <c r="E159" i="26"/>
  <c r="D159" i="26" s="1"/>
  <c r="R21" i="8"/>
  <c r="E40" i="14"/>
  <c r="G40" i="14" s="1"/>
  <c r="R28" i="8"/>
  <c r="R27" i="8"/>
  <c r="Q1341" i="8"/>
  <c r="Q1342" i="8" s="1"/>
  <c r="E34" i="8"/>
  <c r="E36" i="8" s="1"/>
  <c r="Q27" i="8"/>
  <c r="E1342" i="8"/>
  <c r="E1343" i="8"/>
  <c r="G41" i="14"/>
  <c r="E29" i="19"/>
  <c r="F15" i="26"/>
  <c r="G39" i="14"/>
  <c r="Q365" i="8"/>
  <c r="Q377" i="8" s="1"/>
  <c r="O24" i="22"/>
  <c r="F34" i="8"/>
  <c r="F36" i="8" s="1"/>
  <c r="Q28" i="8"/>
  <c r="E30" i="19"/>
  <c r="G42" i="14"/>
  <c r="F1343" i="8"/>
  <c r="F1342" i="8"/>
  <c r="P23" i="8"/>
  <c r="Q21" i="8"/>
  <c r="P1343" i="8"/>
  <c r="N22" i="22"/>
  <c r="N27" i="22" s="1"/>
  <c r="N30" i="22" s="1"/>
  <c r="O20" i="22"/>
  <c r="O22" i="22" s="1"/>
  <c r="E30" i="14"/>
  <c r="G48" i="14"/>
  <c r="E36" i="19"/>
  <c r="P21" i="22" l="1"/>
  <c r="E51" i="14"/>
  <c r="E63" i="14" s="1"/>
  <c r="C172" i="28"/>
  <c r="E171" i="28"/>
  <c r="C234" i="28"/>
  <c r="E233" i="28"/>
  <c r="G203" i="26"/>
  <c r="G232" i="26"/>
  <c r="F42" i="26"/>
  <c r="M113" i="26" s="1"/>
  <c r="E28" i="19"/>
  <c r="Q1343" i="8"/>
  <c r="Q34" i="8"/>
  <c r="O27" i="22"/>
  <c r="O30" i="22" s="1"/>
  <c r="Q30" i="22" s="1"/>
  <c r="Q32" i="22" s="1"/>
  <c r="E21" i="19"/>
  <c r="G30" i="14"/>
  <c r="G51" i="14" s="1"/>
  <c r="G63" i="14" s="1"/>
  <c r="P36" i="8"/>
  <c r="Q36" i="8" s="1"/>
  <c r="Q23" i="8"/>
  <c r="E86" i="28" l="1"/>
  <c r="C87" i="28"/>
  <c r="E234" i="28"/>
  <c r="C235" i="28"/>
  <c r="C174" i="28"/>
  <c r="C182" i="28" s="1"/>
  <c r="C185" i="28" s="1"/>
  <c r="C186" i="28" s="1"/>
  <c r="E172" i="28"/>
  <c r="E174" i="28" s="1"/>
  <c r="E38" i="19"/>
  <c r="F40" i="19" s="1"/>
  <c r="F34" i="19" l="1"/>
  <c r="F30" i="19"/>
  <c r="F26" i="19"/>
  <c r="F22" i="19"/>
  <c r="F18" i="19"/>
  <c r="F37" i="19"/>
  <c r="F33" i="19"/>
  <c r="F29" i="19"/>
  <c r="F25" i="19"/>
  <c r="F21" i="19"/>
  <c r="F17" i="19"/>
  <c r="F36" i="19"/>
  <c r="F32" i="19"/>
  <c r="F24" i="19"/>
  <c r="F20" i="19"/>
  <c r="F35" i="19"/>
  <c r="F31" i="19"/>
  <c r="F27" i="19"/>
  <c r="F23" i="19"/>
  <c r="F19" i="19"/>
  <c r="F28" i="19"/>
  <c r="F52" i="19"/>
  <c r="F53" i="19"/>
  <c r="F50" i="19"/>
  <c r="F54" i="19"/>
  <c r="F51" i="19"/>
  <c r="E235" i="28"/>
  <c r="C237" i="28"/>
  <c r="E87" i="28"/>
  <c r="C88" i="28"/>
  <c r="E185" i="28"/>
  <c r="F38" i="19" l="1"/>
  <c r="E88" i="28"/>
  <c r="C90" i="28"/>
  <c r="E186" i="28" l="1"/>
  <c r="C187" i="28"/>
  <c r="C188" i="28" l="1"/>
  <c r="E187" i="28"/>
  <c r="E188" i="28" l="1"/>
  <c r="C190" i="28"/>
  <c r="G38" i="26" l="1"/>
  <c r="I38" i="26" s="1"/>
  <c r="J31" i="14" l="1"/>
  <c r="J48" i="14" l="1"/>
  <c r="D149" i="26"/>
  <c r="D150" i="26" s="1"/>
  <c r="E161" i="26"/>
  <c r="G185" i="26"/>
  <c r="U19" i="1" l="1"/>
  <c r="F151" i="26"/>
  <c r="G151" i="26"/>
  <c r="H151" i="26"/>
  <c r="I161" i="26"/>
  <c r="G280" i="26"/>
  <c r="U41" i="1"/>
  <c r="D823" i="20" s="1"/>
  <c r="G186" i="26"/>
  <c r="H161" i="26"/>
  <c r="G265" i="26"/>
  <c r="F267" i="26" s="1"/>
  <c r="G161" i="26"/>
  <c r="G237" i="26"/>
  <c r="G187" i="26" l="1"/>
  <c r="J187" i="26" s="1"/>
  <c r="E29" i="28"/>
  <c r="D398" i="20"/>
  <c r="N398" i="20" s="1"/>
  <c r="E12" i="27"/>
  <c r="G189" i="26"/>
  <c r="F191" i="26" s="1"/>
  <c r="P19" i="1" s="1"/>
  <c r="E151" i="26"/>
  <c r="D151" i="26" s="1"/>
  <c r="K823" i="20"/>
  <c r="E823" i="20"/>
  <c r="J823" i="20"/>
  <c r="P823" i="20"/>
  <c r="N823" i="20"/>
  <c r="H823" i="20"/>
  <c r="M823" i="20"/>
  <c r="L823" i="20"/>
  <c r="F823" i="20"/>
  <c r="G823" i="20"/>
  <c r="O823" i="20"/>
  <c r="I823" i="20"/>
  <c r="G238" i="26"/>
  <c r="G266" i="26"/>
  <c r="G281" i="26"/>
  <c r="F282" i="26" s="1"/>
  <c r="D153" i="26"/>
  <c r="K398" i="20"/>
  <c r="O398" i="20"/>
  <c r="P398" i="20" l="1"/>
  <c r="P1259" i="20" s="1"/>
  <c r="L398" i="20"/>
  <c r="L1259" i="20" s="1"/>
  <c r="F398" i="20"/>
  <c r="F1259" i="20" s="1"/>
  <c r="H398" i="20"/>
  <c r="H1259" i="20" s="1"/>
  <c r="J398" i="20"/>
  <c r="J1259" i="20" s="1"/>
  <c r="G398" i="20"/>
  <c r="G1259" i="20" s="1"/>
  <c r="M398" i="20"/>
  <c r="M1259" i="20" s="1"/>
  <c r="E398" i="20"/>
  <c r="E1259" i="20" s="1"/>
  <c r="I398" i="20"/>
  <c r="I1259" i="20" s="1"/>
  <c r="E13" i="27"/>
  <c r="G191" i="26"/>
  <c r="J191" i="26" s="1"/>
  <c r="J192" i="26" s="1"/>
  <c r="P41" i="1"/>
  <c r="D827" i="20" s="1"/>
  <c r="P827" i="20" s="1"/>
  <c r="P1306" i="20" s="1"/>
  <c r="E34" i="27"/>
  <c r="G282" i="26"/>
  <c r="K282" i="26" s="1"/>
  <c r="U48" i="1"/>
  <c r="E23" i="27"/>
  <c r="G239" i="26"/>
  <c r="K239" i="26" s="1"/>
  <c r="U53" i="1"/>
  <c r="D1208" i="20" s="1"/>
  <c r="U45" i="1"/>
  <c r="D963" i="20" s="1"/>
  <c r="U44" i="1"/>
  <c r="U36" i="1"/>
  <c r="D750" i="20" s="1"/>
  <c r="I1304" i="20"/>
  <c r="L1304" i="20"/>
  <c r="P1304" i="20"/>
  <c r="O1304" i="20"/>
  <c r="M1304" i="20"/>
  <c r="J1304" i="20"/>
  <c r="N1259" i="20"/>
  <c r="O1259" i="20"/>
  <c r="D33" i="28"/>
  <c r="E33" i="28" s="1"/>
  <c r="D402" i="20"/>
  <c r="G1304" i="20"/>
  <c r="H1304" i="20"/>
  <c r="Q823" i="20"/>
  <c r="E1304" i="20"/>
  <c r="K1259" i="20"/>
  <c r="E30" i="27"/>
  <c r="U37" i="1"/>
  <c r="D781" i="20" s="1"/>
  <c r="G267" i="26"/>
  <c r="K267" i="26" s="1"/>
  <c r="F1304" i="20"/>
  <c r="N1304" i="20"/>
  <c r="K1304" i="20"/>
  <c r="I827" i="20" l="1"/>
  <c r="I1306" i="20" s="1"/>
  <c r="I1309" i="20" s="1"/>
  <c r="N827" i="20"/>
  <c r="N1306" i="20" s="1"/>
  <c r="N1309" i="20" s="1"/>
  <c r="Q398" i="20"/>
  <c r="F827" i="20"/>
  <c r="F1306" i="20" s="1"/>
  <c r="F1309" i="20" s="1"/>
  <c r="G827" i="20"/>
  <c r="G1306" i="20" s="1"/>
  <c r="G1309" i="20" s="1"/>
  <c r="L827" i="20"/>
  <c r="L1306" i="20" s="1"/>
  <c r="L1309" i="20" s="1"/>
  <c r="K827" i="20"/>
  <c r="K1306" i="20" s="1"/>
  <c r="K1309" i="20" s="1"/>
  <c r="H827" i="20"/>
  <c r="H1306" i="20" s="1"/>
  <c r="H1309" i="20" s="1"/>
  <c r="O827" i="20"/>
  <c r="O1306" i="20" s="1"/>
  <c r="O1309" i="20" s="1"/>
  <c r="E827" i="20"/>
  <c r="E829" i="20" s="1"/>
  <c r="E225" i="20" s="1"/>
  <c r="J827" i="20"/>
  <c r="J1306" i="20" s="1"/>
  <c r="J1309" i="20" s="1"/>
  <c r="M827" i="20"/>
  <c r="M1306" i="20" s="1"/>
  <c r="M1309" i="20" s="1"/>
  <c r="G829" i="20"/>
  <c r="G833" i="20" s="1"/>
  <c r="G840" i="20" s="1"/>
  <c r="G227" i="20" s="1"/>
  <c r="G284" i="26"/>
  <c r="G286" i="26" s="1"/>
  <c r="G287" i="26" s="1"/>
  <c r="G242" i="26"/>
  <c r="P1309" i="20"/>
  <c r="L1208" i="20"/>
  <c r="O1208" i="20"/>
  <c r="J1208" i="20"/>
  <c r="F1208" i="20"/>
  <c r="G1208" i="20"/>
  <c r="I1208" i="20"/>
  <c r="M1208" i="20"/>
  <c r="K1208" i="20"/>
  <c r="N1208" i="20"/>
  <c r="E1208" i="20"/>
  <c r="H1208" i="20"/>
  <c r="P1208" i="20"/>
  <c r="G269" i="26"/>
  <c r="G271" i="26" s="1"/>
  <c r="F271" i="26" s="1"/>
  <c r="G750" i="20"/>
  <c r="L750" i="20"/>
  <c r="H750" i="20"/>
  <c r="I750" i="20"/>
  <c r="J750" i="20"/>
  <c r="O750" i="20"/>
  <c r="M750" i="20"/>
  <c r="K750" i="20"/>
  <c r="F750" i="20"/>
  <c r="N750" i="20"/>
  <c r="P750" i="20"/>
  <c r="E750" i="20"/>
  <c r="E227" i="28"/>
  <c r="D1079" i="20"/>
  <c r="G781" i="20"/>
  <c r="K781" i="20"/>
  <c r="J781" i="20"/>
  <c r="H781" i="20"/>
  <c r="I781" i="20"/>
  <c r="P781" i="20"/>
  <c r="O781" i="20"/>
  <c r="N781" i="20"/>
  <c r="E781" i="20"/>
  <c r="F781" i="20"/>
  <c r="L781" i="20"/>
  <c r="M781" i="20"/>
  <c r="Q1304" i="20"/>
  <c r="D936" i="20"/>
  <c r="E178" i="28"/>
  <c r="E43" i="28"/>
  <c r="E39" i="28"/>
  <c r="E41" i="28" s="1"/>
  <c r="Q1259" i="20"/>
  <c r="H402" i="20"/>
  <c r="M402" i="20"/>
  <c r="G402" i="20"/>
  <c r="F402" i="20"/>
  <c r="E402" i="20"/>
  <c r="L402" i="20"/>
  <c r="O402" i="20"/>
  <c r="I402" i="20"/>
  <c r="P402" i="20"/>
  <c r="N402" i="20"/>
  <c r="J402" i="20"/>
  <c r="K402" i="20"/>
  <c r="P829" i="20"/>
  <c r="N963" i="20"/>
  <c r="P963" i="20"/>
  <c r="O963" i="20"/>
  <c r="H963" i="20"/>
  <c r="I963" i="20"/>
  <c r="J963" i="20"/>
  <c r="L963" i="20"/>
  <c r="E963" i="20"/>
  <c r="G963" i="20"/>
  <c r="K963" i="20"/>
  <c r="F963" i="20"/>
  <c r="M963" i="20"/>
  <c r="G245" i="26" l="1"/>
  <c r="G246" i="26"/>
  <c r="F246" i="26" s="1"/>
  <c r="G244" i="26"/>
  <c r="F244" i="26" s="1"/>
  <c r="I829" i="20"/>
  <c r="I225" i="20" s="1"/>
  <c r="N829" i="20"/>
  <c r="N225" i="20" s="1"/>
  <c r="O829" i="20"/>
  <c r="O833" i="20" s="1"/>
  <c r="O840" i="20" s="1"/>
  <c r="O227" i="20" s="1"/>
  <c r="O26" i="20" s="1"/>
  <c r="F829" i="20"/>
  <c r="F833" i="20" s="1"/>
  <c r="F840" i="20" s="1"/>
  <c r="F227" i="20" s="1"/>
  <c r="E833" i="20"/>
  <c r="E840" i="20" s="1"/>
  <c r="H829" i="20"/>
  <c r="H833" i="20" s="1"/>
  <c r="H840" i="20" s="1"/>
  <c r="H227" i="20" s="1"/>
  <c r="H26" i="20" s="1"/>
  <c r="J829" i="20"/>
  <c r="J833" i="20" s="1"/>
  <c r="J840" i="20" s="1"/>
  <c r="J227" i="20" s="1"/>
  <c r="J26" i="20" s="1"/>
  <c r="M829" i="20"/>
  <c r="M225" i="20" s="1"/>
  <c r="K829" i="20"/>
  <c r="E1306" i="20"/>
  <c r="E1309" i="20" s="1"/>
  <c r="Q827" i="20"/>
  <c r="L829" i="20"/>
  <c r="L833" i="20" s="1"/>
  <c r="L840" i="20" s="1"/>
  <c r="L227" i="20" s="1"/>
  <c r="G225" i="20"/>
  <c r="F286" i="26"/>
  <c r="E35" i="27" s="1"/>
  <c r="K286" i="26"/>
  <c r="K287" i="26" s="1"/>
  <c r="K289" i="26" s="1"/>
  <c r="N1261" i="20"/>
  <c r="N404" i="20"/>
  <c r="M1261" i="20"/>
  <c r="M404" i="20"/>
  <c r="E1285" i="20"/>
  <c r="Q781" i="20"/>
  <c r="G1285" i="20"/>
  <c r="P1261" i="20"/>
  <c r="P404" i="20"/>
  <c r="H1261" i="20"/>
  <c r="H404" i="20"/>
  <c r="O936" i="20"/>
  <c r="J936" i="20"/>
  <c r="F936" i="20"/>
  <c r="G936" i="20"/>
  <c r="N936" i="20"/>
  <c r="K936" i="20"/>
  <c r="E936" i="20"/>
  <c r="I936" i="20"/>
  <c r="M936" i="20"/>
  <c r="L936" i="20"/>
  <c r="P936" i="20"/>
  <c r="H936" i="20"/>
  <c r="M1285" i="20"/>
  <c r="N1285" i="20"/>
  <c r="H1285" i="20"/>
  <c r="Q750" i="20"/>
  <c r="Q1208" i="20"/>
  <c r="Q963" i="20"/>
  <c r="K1261" i="20"/>
  <c r="K404" i="20"/>
  <c r="I1261" i="20"/>
  <c r="I404" i="20"/>
  <c r="F1261" i="20"/>
  <c r="F404" i="20"/>
  <c r="G26" i="20"/>
  <c r="L1285" i="20"/>
  <c r="O1285" i="20"/>
  <c r="J1285" i="20"/>
  <c r="L1261" i="20"/>
  <c r="L404" i="20"/>
  <c r="I1285" i="20"/>
  <c r="G272" i="26"/>
  <c r="K271" i="26"/>
  <c r="K272" i="26" s="1"/>
  <c r="K274" i="26" s="1"/>
  <c r="Q402" i="20"/>
  <c r="E1261" i="20"/>
  <c r="E404" i="20"/>
  <c r="P225" i="20"/>
  <c r="P833" i="20"/>
  <c r="P840" i="20" s="1"/>
  <c r="P227" i="20" s="1"/>
  <c r="J1261" i="20"/>
  <c r="J404" i="20"/>
  <c r="O1261" i="20"/>
  <c r="O404" i="20"/>
  <c r="G1261" i="20"/>
  <c r="G404" i="20"/>
  <c r="F1285" i="20"/>
  <c r="P1285" i="20"/>
  <c r="K1285" i="20"/>
  <c r="G1079" i="20"/>
  <c r="I1079" i="20"/>
  <c r="K1079" i="20"/>
  <c r="H1079" i="20"/>
  <c r="J1079" i="20"/>
  <c r="N1079" i="20"/>
  <c r="O1079" i="20"/>
  <c r="F1079" i="20"/>
  <c r="E1079" i="20"/>
  <c r="P1079" i="20"/>
  <c r="L1079" i="20"/>
  <c r="M1079" i="20"/>
  <c r="R45" i="1" l="1"/>
  <c r="D975" i="20" s="1"/>
  <c r="R36" i="1"/>
  <c r="D761" i="20" s="1"/>
  <c r="R53" i="1"/>
  <c r="R44" i="1"/>
  <c r="K246" i="26"/>
  <c r="E24" i="27"/>
  <c r="I833" i="20"/>
  <c r="I840" i="20" s="1"/>
  <c r="I227" i="20" s="1"/>
  <c r="I26" i="20" s="1"/>
  <c r="F225" i="20"/>
  <c r="N833" i="20"/>
  <c r="N840" i="20" s="1"/>
  <c r="N227" i="20" s="1"/>
  <c r="N26" i="20" s="1"/>
  <c r="O225" i="20"/>
  <c r="H57" i="26"/>
  <c r="G57" i="26" s="1"/>
  <c r="M833" i="20"/>
  <c r="M840" i="20" s="1"/>
  <c r="M227" i="20" s="1"/>
  <c r="M26" i="20" s="1"/>
  <c r="J225" i="20"/>
  <c r="H225" i="20"/>
  <c r="L225" i="20"/>
  <c r="Q829" i="20"/>
  <c r="K225" i="20"/>
  <c r="K833" i="20"/>
  <c r="K840" i="20" s="1"/>
  <c r="K227" i="20" s="1"/>
  <c r="K26" i="20" s="1"/>
  <c r="Q1306" i="20"/>
  <c r="Q1309" i="20" s="1"/>
  <c r="P48" i="1"/>
  <c r="D1083" i="20" s="1"/>
  <c r="J67" i="20"/>
  <c r="J408" i="20"/>
  <c r="J416" i="20" s="1"/>
  <c r="J69" i="20" s="1"/>
  <c r="E26" i="27"/>
  <c r="F67" i="20"/>
  <c r="F408" i="20"/>
  <c r="F416" i="20" s="1"/>
  <c r="F69" i="20" s="1"/>
  <c r="Q936" i="20"/>
  <c r="P1266" i="20"/>
  <c r="G1266" i="20"/>
  <c r="P26" i="20"/>
  <c r="K1266" i="20"/>
  <c r="H67" i="20"/>
  <c r="H408" i="20"/>
  <c r="H416" i="20" s="1"/>
  <c r="H69" i="20" s="1"/>
  <c r="M1266" i="20"/>
  <c r="O408" i="20"/>
  <c r="O416" i="20" s="1"/>
  <c r="O69" i="20" s="1"/>
  <c r="O67" i="20"/>
  <c r="Q404" i="20"/>
  <c r="E67" i="20"/>
  <c r="E408" i="20"/>
  <c r="L67" i="20"/>
  <c r="L408" i="20"/>
  <c r="L416" i="20" s="1"/>
  <c r="L69" i="20" s="1"/>
  <c r="I67" i="20"/>
  <c r="I408" i="20"/>
  <c r="I416" i="20" s="1"/>
  <c r="I69" i="20" s="1"/>
  <c r="H1266" i="20"/>
  <c r="N67" i="20"/>
  <c r="N408" i="20"/>
  <c r="N416" i="20" s="1"/>
  <c r="N69" i="20" s="1"/>
  <c r="G67" i="20"/>
  <c r="G408" i="20"/>
  <c r="G416" i="20" s="1"/>
  <c r="G69" i="20" s="1"/>
  <c r="E227" i="20"/>
  <c r="L26" i="20"/>
  <c r="K67" i="20"/>
  <c r="K408" i="20"/>
  <c r="K416" i="20" s="1"/>
  <c r="K69" i="20" s="1"/>
  <c r="M67" i="20"/>
  <c r="M408" i="20"/>
  <c r="M416" i="20" s="1"/>
  <c r="M69" i="20" s="1"/>
  <c r="F26" i="20"/>
  <c r="J1266" i="20"/>
  <c r="F1266" i="20"/>
  <c r="Q1079" i="20"/>
  <c r="O1266" i="20"/>
  <c r="Q1261" i="20"/>
  <c r="E1266" i="20"/>
  <c r="E31" i="27"/>
  <c r="P37" i="1"/>
  <c r="D785" i="20" s="1"/>
  <c r="L1266" i="20"/>
  <c r="I1266" i="20"/>
  <c r="P67" i="20"/>
  <c r="P408" i="20"/>
  <c r="P416" i="20" s="1"/>
  <c r="P69" i="20" s="1"/>
  <c r="Q1285" i="20"/>
  <c r="N1266" i="20"/>
  <c r="D184" i="28" l="1"/>
  <c r="E184" i="28" s="1"/>
  <c r="D948" i="20"/>
  <c r="K244" i="26"/>
  <c r="Q225" i="20"/>
  <c r="Q840" i="20"/>
  <c r="Q833" i="20"/>
  <c r="D231" i="28"/>
  <c r="E231" i="28" s="1"/>
  <c r="E237" i="28" s="1"/>
  <c r="E239" i="28" s="1"/>
  <c r="P44" i="1"/>
  <c r="D946" i="20" s="1"/>
  <c r="P36" i="1"/>
  <c r="D759" i="20" s="1"/>
  <c r="J759" i="20" s="1"/>
  <c r="P53" i="1"/>
  <c r="D1217" i="20" s="1"/>
  <c r="O1217" i="20" s="1"/>
  <c r="P45" i="1"/>
  <c r="D973" i="20" s="1"/>
  <c r="M973" i="20" s="1"/>
  <c r="I19" i="20"/>
  <c r="G66" i="22"/>
  <c r="Q67" i="20"/>
  <c r="G785" i="20"/>
  <c r="I785" i="20"/>
  <c r="O785" i="20"/>
  <c r="L785" i="20"/>
  <c r="M785" i="20"/>
  <c r="N785" i="20"/>
  <c r="H785" i="20"/>
  <c r="F785" i="20"/>
  <c r="K785" i="20"/>
  <c r="P785" i="20"/>
  <c r="J785" i="20"/>
  <c r="E785" i="20"/>
  <c r="E66" i="22"/>
  <c r="G19" i="20"/>
  <c r="L19" i="20"/>
  <c r="J66" i="22"/>
  <c r="M66" i="22"/>
  <c r="O19" i="20"/>
  <c r="G761" i="20"/>
  <c r="J761" i="20"/>
  <c r="P761" i="20"/>
  <c r="N761" i="20"/>
  <c r="K761" i="20"/>
  <c r="H761" i="20"/>
  <c r="F761" i="20"/>
  <c r="O761" i="20"/>
  <c r="I761" i="20"/>
  <c r="M761" i="20"/>
  <c r="E761" i="20"/>
  <c r="L761" i="20"/>
  <c r="I57" i="26"/>
  <c r="J57" i="26"/>
  <c r="K19" i="20"/>
  <c r="I66" i="22"/>
  <c r="J19" i="20"/>
  <c r="H66" i="22"/>
  <c r="N66" i="22"/>
  <c r="P19" i="20"/>
  <c r="J1083" i="20"/>
  <c r="J1085" i="20" s="1"/>
  <c r="K1083" i="20"/>
  <c r="K1085" i="20" s="1"/>
  <c r="M1083" i="20"/>
  <c r="M1085" i="20" s="1"/>
  <c r="P1083" i="20"/>
  <c r="P1085" i="20" s="1"/>
  <c r="G1083" i="20"/>
  <c r="G1085" i="20" s="1"/>
  <c r="I1083" i="20"/>
  <c r="I1085" i="20" s="1"/>
  <c r="L1083" i="20"/>
  <c r="L1085" i="20" s="1"/>
  <c r="H1083" i="20"/>
  <c r="H1085" i="20" s="1"/>
  <c r="O1083" i="20"/>
  <c r="O1085" i="20" s="1"/>
  <c r="F1083" i="20"/>
  <c r="F1085" i="20" s="1"/>
  <c r="N1083" i="20"/>
  <c r="N1085" i="20" s="1"/>
  <c r="E1083" i="20"/>
  <c r="M19" i="20"/>
  <c r="K66" i="22"/>
  <c r="E26" i="20"/>
  <c r="Q227" i="20"/>
  <c r="H36" i="14" s="1"/>
  <c r="I36" i="14" s="1"/>
  <c r="J36" i="14" s="1"/>
  <c r="Q1266" i="20"/>
  <c r="N19" i="20"/>
  <c r="L66" i="22"/>
  <c r="Q408" i="20"/>
  <c r="E416" i="20"/>
  <c r="H19" i="20"/>
  <c r="F66" i="22"/>
  <c r="D66" i="22"/>
  <c r="F19" i="20"/>
  <c r="E241" i="28" l="1"/>
  <c r="H759" i="20"/>
  <c r="D182" i="28"/>
  <c r="E182" i="28" s="1"/>
  <c r="E194" i="28" s="1"/>
  <c r="F759" i="20"/>
  <c r="I973" i="20"/>
  <c r="O973" i="20"/>
  <c r="E1217" i="20"/>
  <c r="K1217" i="20"/>
  <c r="M1217" i="20"/>
  <c r="J1217" i="20"/>
  <c r="N1217" i="20"/>
  <c r="P1217" i="20"/>
  <c r="O759" i="20"/>
  <c r="G1217" i="20"/>
  <c r="L1217" i="20"/>
  <c r="F1217" i="20"/>
  <c r="H1217" i="20"/>
  <c r="I1217" i="20"/>
  <c r="F973" i="20"/>
  <c r="H973" i="20"/>
  <c r="E973" i="20"/>
  <c r="L973" i="20"/>
  <c r="K973" i="20"/>
  <c r="N973" i="20"/>
  <c r="J973" i="20"/>
  <c r="K759" i="20"/>
  <c r="E759" i="20"/>
  <c r="M759" i="20"/>
  <c r="P759" i="20"/>
  <c r="N759" i="20"/>
  <c r="G759" i="20"/>
  <c r="G973" i="20"/>
  <c r="P973" i="20"/>
  <c r="L759" i="20"/>
  <c r="I759" i="20"/>
  <c r="J67" i="26"/>
  <c r="J63" i="26"/>
  <c r="J70" i="26"/>
  <c r="J66" i="26"/>
  <c r="J62" i="26"/>
  <c r="J69" i="26"/>
  <c r="J64" i="26"/>
  <c r="N295" i="20"/>
  <c r="N1089" i="20"/>
  <c r="N297" i="20" s="1"/>
  <c r="L295" i="20"/>
  <c r="L1089" i="20"/>
  <c r="L297" i="20" s="1"/>
  <c r="M295" i="20"/>
  <c r="M1089" i="20"/>
  <c r="M297" i="20" s="1"/>
  <c r="Q785" i="20"/>
  <c r="H61" i="26" s="1"/>
  <c r="G61" i="26" s="1"/>
  <c r="E1287" i="20"/>
  <c r="E787" i="20"/>
  <c r="F1287" i="20"/>
  <c r="F1290" i="20" s="1"/>
  <c r="F787" i="20"/>
  <c r="L1287" i="20"/>
  <c r="L1290" i="20" s="1"/>
  <c r="L787" i="20"/>
  <c r="H946" i="20"/>
  <c r="L946" i="20"/>
  <c r="P946" i="20"/>
  <c r="K946" i="20"/>
  <c r="O946" i="20"/>
  <c r="F946" i="20"/>
  <c r="I946" i="20"/>
  <c r="M946" i="20"/>
  <c r="G946" i="20"/>
  <c r="N946" i="20"/>
  <c r="J946" i="20"/>
  <c r="E946" i="20"/>
  <c r="Q416" i="20"/>
  <c r="E69" i="20"/>
  <c r="Q26" i="20"/>
  <c r="F295" i="20"/>
  <c r="F1089" i="20"/>
  <c r="F297" i="20" s="1"/>
  <c r="I295" i="20"/>
  <c r="I1089" i="20"/>
  <c r="I297" i="20" s="1"/>
  <c r="K1089" i="20"/>
  <c r="K297" i="20" s="1"/>
  <c r="K295" i="20"/>
  <c r="J1287" i="20"/>
  <c r="J1290" i="20" s="1"/>
  <c r="J787" i="20"/>
  <c r="H1287" i="20"/>
  <c r="H1290" i="20" s="1"/>
  <c r="H787" i="20"/>
  <c r="O1287" i="20"/>
  <c r="O1290" i="20" s="1"/>
  <c r="O787" i="20"/>
  <c r="O295" i="20"/>
  <c r="O1089" i="20"/>
  <c r="O297" i="20" s="1"/>
  <c r="G1089" i="20"/>
  <c r="G297" i="20" s="1"/>
  <c r="G295" i="20"/>
  <c r="J1089" i="20"/>
  <c r="J297" i="20" s="1"/>
  <c r="J295" i="20"/>
  <c r="P1287" i="20"/>
  <c r="P1290" i="20" s="1"/>
  <c r="P787" i="20"/>
  <c r="N1287" i="20"/>
  <c r="N1290" i="20" s="1"/>
  <c r="N787" i="20"/>
  <c r="I1287" i="20"/>
  <c r="I1290" i="20" s="1"/>
  <c r="I787" i="20"/>
  <c r="Q1083" i="20"/>
  <c r="H71" i="26" s="1"/>
  <c r="G71" i="26" s="1"/>
  <c r="E1085" i="20"/>
  <c r="H295" i="20"/>
  <c r="H1089" i="20"/>
  <c r="H297" i="20" s="1"/>
  <c r="P295" i="20"/>
  <c r="P1089" i="20"/>
  <c r="P297" i="20" s="1"/>
  <c r="Q761" i="20"/>
  <c r="K1287" i="20"/>
  <c r="K1290" i="20" s="1"/>
  <c r="K787" i="20"/>
  <c r="M1287" i="20"/>
  <c r="M1290" i="20" s="1"/>
  <c r="M787" i="20"/>
  <c r="G1287" i="20"/>
  <c r="G1290" i="20" s="1"/>
  <c r="G787" i="20"/>
  <c r="Q1217" i="20" l="1"/>
  <c r="Q759" i="20"/>
  <c r="Q973" i="20"/>
  <c r="G198" i="20"/>
  <c r="G791" i="20"/>
  <c r="G796" i="20" s="1"/>
  <c r="G200" i="20" s="1"/>
  <c r="K198" i="20"/>
  <c r="K791" i="20"/>
  <c r="K796" i="20" s="1"/>
  <c r="K200" i="20" s="1"/>
  <c r="I71" i="26"/>
  <c r="J71" i="26"/>
  <c r="F198" i="20"/>
  <c r="F791" i="20"/>
  <c r="F796" i="20" s="1"/>
  <c r="F200" i="20" s="1"/>
  <c r="J61" i="26"/>
  <c r="I61" i="26"/>
  <c r="N198" i="20"/>
  <c r="N791" i="20"/>
  <c r="N796" i="20" s="1"/>
  <c r="N200" i="20" s="1"/>
  <c r="O198" i="20"/>
  <c r="O791" i="20"/>
  <c r="O796" i="20" s="1"/>
  <c r="O200" i="20" s="1"/>
  <c r="J791" i="20"/>
  <c r="J796" i="20" s="1"/>
  <c r="J200" i="20" s="1"/>
  <c r="J198" i="20"/>
  <c r="Q946" i="20"/>
  <c r="M198" i="20"/>
  <c r="M791" i="20"/>
  <c r="M796" i="20" s="1"/>
  <c r="M200" i="20" s="1"/>
  <c r="C66" i="22"/>
  <c r="E19" i="20"/>
  <c r="Q69" i="20"/>
  <c r="L198" i="20"/>
  <c r="L791" i="20"/>
  <c r="L796" i="20" s="1"/>
  <c r="L200" i="20" s="1"/>
  <c r="Q787" i="20"/>
  <c r="E198" i="20"/>
  <c r="E791" i="20"/>
  <c r="Q1085" i="20"/>
  <c r="E295" i="20"/>
  <c r="Q295" i="20" s="1"/>
  <c r="E1089" i="20"/>
  <c r="I198" i="20"/>
  <c r="I791" i="20"/>
  <c r="I796" i="20" s="1"/>
  <c r="I200" i="20" s="1"/>
  <c r="P198" i="20"/>
  <c r="P791" i="20"/>
  <c r="P796" i="20" s="1"/>
  <c r="P200" i="20" s="1"/>
  <c r="H198" i="20"/>
  <c r="H791" i="20"/>
  <c r="H796" i="20" s="1"/>
  <c r="H200" i="20" s="1"/>
  <c r="Q1287" i="20"/>
  <c r="Q1290" i="20" s="1"/>
  <c r="E1290" i="20"/>
  <c r="H19" i="14" l="1"/>
  <c r="H13" i="26"/>
  <c r="I22" i="20"/>
  <c r="G69" i="22"/>
  <c r="Q1089" i="20"/>
  <c r="E297" i="20"/>
  <c r="Q297" i="20" s="1"/>
  <c r="L22" i="20"/>
  <c r="J69" i="22"/>
  <c r="L69" i="22"/>
  <c r="N22" i="20"/>
  <c r="J74" i="26"/>
  <c r="J75" i="26"/>
  <c r="G22" i="20"/>
  <c r="E69" i="22"/>
  <c r="F69" i="22"/>
  <c r="H22" i="20"/>
  <c r="Q791" i="20"/>
  <c r="E796" i="20"/>
  <c r="Q19" i="20"/>
  <c r="M22" i="20"/>
  <c r="K69" i="22"/>
  <c r="H69" i="22"/>
  <c r="J22" i="20"/>
  <c r="F22" i="20"/>
  <c r="D69" i="22"/>
  <c r="N69" i="22"/>
  <c r="P22" i="20"/>
  <c r="Q198" i="20"/>
  <c r="O66" i="22"/>
  <c r="O22" i="20"/>
  <c r="M69" i="22"/>
  <c r="K22" i="20"/>
  <c r="I69" i="22"/>
  <c r="H43" i="14" l="1"/>
  <c r="I43" i="14" s="1"/>
  <c r="J43" i="14" s="1"/>
  <c r="H27" i="26"/>
  <c r="Q796" i="20"/>
  <c r="E200" i="20"/>
  <c r="G13" i="26"/>
  <c r="E44" i="19"/>
  <c r="I19" i="14"/>
  <c r="J13" i="26" l="1"/>
  <c r="I13" i="26"/>
  <c r="J19" i="14"/>
  <c r="C69" i="22"/>
  <c r="O69" i="22" s="1"/>
  <c r="E22" i="20"/>
  <c r="Q22" i="20" s="1"/>
  <c r="Q200" i="20"/>
  <c r="G27" i="26"/>
  <c r="E49" i="19"/>
  <c r="F49" i="19" s="1"/>
  <c r="J25" i="26" l="1"/>
  <c r="J23" i="26"/>
  <c r="J20" i="26"/>
  <c r="J18" i="26"/>
  <c r="J19" i="26"/>
  <c r="J26" i="26"/>
  <c r="J22" i="26"/>
  <c r="H17" i="26"/>
  <c r="H32" i="14"/>
  <c r="I32" i="14" s="1"/>
  <c r="J32" i="14" s="1"/>
  <c r="J27" i="26"/>
  <c r="I27" i="26"/>
  <c r="J31" i="26" l="1"/>
  <c r="J30" i="26"/>
  <c r="E48" i="19"/>
  <c r="F48" i="19" s="1"/>
  <c r="G17" i="26"/>
  <c r="I17" i="26" l="1"/>
  <c r="J17" i="26"/>
  <c r="F154" i="26" l="1"/>
  <c r="F156" i="26" s="1"/>
  <c r="F161" i="26" l="1"/>
  <c r="G208" i="26"/>
  <c r="F210" i="26" s="1"/>
  <c r="G209" i="26" l="1"/>
  <c r="D161" i="26"/>
  <c r="F162" i="26" s="1"/>
  <c r="I162" i="26" l="1"/>
  <c r="G162" i="26"/>
  <c r="H162" i="26"/>
  <c r="G210" i="26"/>
  <c r="K210" i="26" s="1"/>
  <c r="U42" i="1"/>
  <c r="D848" i="20" s="1"/>
  <c r="U46" i="1"/>
  <c r="U47" i="1"/>
  <c r="D1034" i="20" s="1"/>
  <c r="U31" i="1"/>
  <c r="D700" i="20" s="1"/>
  <c r="U30" i="1"/>
  <c r="E16" i="27"/>
  <c r="U43" i="1"/>
  <c r="D892" i="20" s="1"/>
  <c r="G213" i="26"/>
  <c r="E162" i="26" l="1"/>
  <c r="D162" i="26" s="1"/>
  <c r="H848" i="20"/>
  <c r="J848" i="20"/>
  <c r="I848" i="20"/>
  <c r="N848" i="20"/>
  <c r="K848" i="20"/>
  <c r="O848" i="20"/>
  <c r="F848" i="20"/>
  <c r="M848" i="20"/>
  <c r="P848" i="20"/>
  <c r="G848" i="20"/>
  <c r="E848" i="20"/>
  <c r="L848" i="20"/>
  <c r="G215" i="26"/>
  <c r="G216" i="26"/>
  <c r="F216" i="26" s="1"/>
  <c r="G217" i="26"/>
  <c r="F217" i="26" s="1"/>
  <c r="G218" i="26"/>
  <c r="F218" i="26" s="1"/>
  <c r="H700" i="20"/>
  <c r="P700" i="20"/>
  <c r="O700" i="20"/>
  <c r="K700" i="20"/>
  <c r="F700" i="20"/>
  <c r="F1277" i="20" s="1"/>
  <c r="I700" i="20"/>
  <c r="I1277" i="20" s="1"/>
  <c r="M700" i="20"/>
  <c r="G700" i="20"/>
  <c r="N700" i="20"/>
  <c r="L700" i="20"/>
  <c r="E700" i="20"/>
  <c r="J700" i="20"/>
  <c r="P892" i="20"/>
  <c r="M892" i="20"/>
  <c r="J892" i="20"/>
  <c r="F892" i="20"/>
  <c r="O892" i="20"/>
  <c r="E892" i="20"/>
  <c r="N892" i="20"/>
  <c r="L892" i="20"/>
  <c r="G892" i="20"/>
  <c r="H892" i="20"/>
  <c r="K892" i="20"/>
  <c r="I892" i="20"/>
  <c r="H1034" i="20"/>
  <c r="F1034" i="20"/>
  <c r="L1034" i="20"/>
  <c r="M1034" i="20"/>
  <c r="J1034" i="20"/>
  <c r="P1034" i="20"/>
  <c r="G1034" i="20"/>
  <c r="I1034" i="20"/>
  <c r="K1034" i="20"/>
  <c r="O1034" i="20"/>
  <c r="E1034" i="20"/>
  <c r="N1034" i="20"/>
  <c r="E128" i="28"/>
  <c r="D1006" i="20"/>
  <c r="E78" i="28"/>
  <c r="D649" i="20"/>
  <c r="M1318" i="20" l="1"/>
  <c r="J1006" i="20"/>
  <c r="J1312" i="20" s="1"/>
  <c r="L1006" i="20"/>
  <c r="L1312" i="20" s="1"/>
  <c r="N1006" i="20"/>
  <c r="N1312" i="20" s="1"/>
  <c r="H1006" i="20"/>
  <c r="H1312" i="20" s="1"/>
  <c r="K1006" i="20"/>
  <c r="K1312" i="20" s="1"/>
  <c r="I1006" i="20"/>
  <c r="I1312" i="20" s="1"/>
  <c r="F1006" i="20"/>
  <c r="F1312" i="20" s="1"/>
  <c r="O1006" i="20"/>
  <c r="O1312" i="20" s="1"/>
  <c r="P1006" i="20"/>
  <c r="P1312" i="20" s="1"/>
  <c r="G1006" i="20"/>
  <c r="G1312" i="20" s="1"/>
  <c r="M1006" i="20"/>
  <c r="M1312" i="20" s="1"/>
  <c r="E1006" i="20"/>
  <c r="E1312" i="20" s="1"/>
  <c r="H1318" i="20"/>
  <c r="Q892" i="20"/>
  <c r="E1318" i="20"/>
  <c r="F649" i="20"/>
  <c r="H649" i="20"/>
  <c r="K649" i="20"/>
  <c r="G649" i="20"/>
  <c r="G1269" i="20" s="1"/>
  <c r="M649" i="20"/>
  <c r="O649" i="20"/>
  <c r="P649" i="20"/>
  <c r="L649" i="20"/>
  <c r="J649" i="20"/>
  <c r="I649" i="20"/>
  <c r="N649" i="20"/>
  <c r="E649" i="20"/>
  <c r="I1318" i="20"/>
  <c r="L1318" i="20"/>
  <c r="F1318" i="20"/>
  <c r="J1277" i="20"/>
  <c r="G1277" i="20"/>
  <c r="K1277" i="20"/>
  <c r="K218" i="26"/>
  <c r="Q1034" i="20"/>
  <c r="K1318" i="20"/>
  <c r="N1318" i="20"/>
  <c r="J1318" i="20"/>
  <c r="Q700" i="20"/>
  <c r="E1277" i="20"/>
  <c r="M1277" i="20"/>
  <c r="O1277" i="20"/>
  <c r="K217" i="26"/>
  <c r="Q848" i="20"/>
  <c r="L1277" i="20"/>
  <c r="P1277" i="20"/>
  <c r="K216" i="26"/>
  <c r="G1318" i="20"/>
  <c r="O1318" i="20"/>
  <c r="P1318" i="20"/>
  <c r="N1277" i="20"/>
  <c r="H1277" i="20"/>
  <c r="K215" i="26"/>
  <c r="F215" i="26"/>
  <c r="G219" i="26"/>
  <c r="M1324" i="20" l="1"/>
  <c r="K219" i="26"/>
  <c r="K221" i="26" s="1"/>
  <c r="P1324" i="20"/>
  <c r="G1324" i="20"/>
  <c r="H1324" i="20"/>
  <c r="L1324" i="20"/>
  <c r="E17" i="27"/>
  <c r="P31" i="1"/>
  <c r="D710" i="20" s="1"/>
  <c r="P46" i="1"/>
  <c r="P47" i="1"/>
  <c r="D1045" i="20" s="1"/>
  <c r="P30" i="1"/>
  <c r="P43" i="1"/>
  <c r="D902" i="20" s="1"/>
  <c r="P42" i="1"/>
  <c r="D858" i="20" s="1"/>
  <c r="F1324" i="20"/>
  <c r="I1324" i="20"/>
  <c r="Q1312" i="20"/>
  <c r="E1324" i="20"/>
  <c r="N1269" i="20"/>
  <c r="P1269" i="20"/>
  <c r="K1269" i="20"/>
  <c r="Q1318" i="20"/>
  <c r="Q1006" i="20"/>
  <c r="J1324" i="20"/>
  <c r="Q1277" i="20"/>
  <c r="N1324" i="20"/>
  <c r="I1269" i="20"/>
  <c r="O1269" i="20"/>
  <c r="H1269" i="20"/>
  <c r="K1324" i="20"/>
  <c r="R42" i="1"/>
  <c r="D860" i="20" s="1"/>
  <c r="R30" i="1"/>
  <c r="R43" i="1"/>
  <c r="D904" i="20" s="1"/>
  <c r="E19" i="27"/>
  <c r="R46" i="1"/>
  <c r="R31" i="1"/>
  <c r="D712" i="20" s="1"/>
  <c r="R47" i="1"/>
  <c r="D1047" i="20" s="1"/>
  <c r="E20" i="27"/>
  <c r="S47" i="1"/>
  <c r="D1048" i="20" s="1"/>
  <c r="S30" i="1"/>
  <c r="S42" i="1"/>
  <c r="D861" i="20" s="1"/>
  <c r="S46" i="1"/>
  <c r="S43" i="1"/>
  <c r="D905" i="20" s="1"/>
  <c r="S31" i="1"/>
  <c r="D713" i="20" s="1"/>
  <c r="J1269" i="20"/>
  <c r="M1269" i="20"/>
  <c r="F1269" i="20"/>
  <c r="O1324" i="20"/>
  <c r="Q31" i="1"/>
  <c r="D711" i="20" s="1"/>
  <c r="E18" i="27"/>
  <c r="Q42" i="1"/>
  <c r="D859" i="20" s="1"/>
  <c r="Q46" i="1"/>
  <c r="Q47" i="1"/>
  <c r="D1046" i="20" s="1"/>
  <c r="Q30" i="1"/>
  <c r="Q43" i="1"/>
  <c r="D903" i="20" s="1"/>
  <c r="E1269" i="20"/>
  <c r="Q649" i="20"/>
  <c r="L1269" i="20"/>
  <c r="G1274" i="20"/>
  <c r="G1293" i="20"/>
  <c r="G1300" i="20" s="1"/>
  <c r="L1293" i="20" l="1"/>
  <c r="L1300" i="20" s="1"/>
  <c r="L1274" i="20"/>
  <c r="F903" i="20"/>
  <c r="H903" i="20"/>
  <c r="G903" i="20"/>
  <c r="P903" i="20"/>
  <c r="N903" i="20"/>
  <c r="E903" i="20"/>
  <c r="M903" i="20"/>
  <c r="K903" i="20"/>
  <c r="I903" i="20"/>
  <c r="J903" i="20"/>
  <c r="O903" i="20"/>
  <c r="L903" i="20"/>
  <c r="O859" i="20"/>
  <c r="M859" i="20"/>
  <c r="E859" i="20"/>
  <c r="K859" i="20"/>
  <c r="F859" i="20"/>
  <c r="L859" i="20"/>
  <c r="N859" i="20"/>
  <c r="I859" i="20"/>
  <c r="J859" i="20"/>
  <c r="G859" i="20"/>
  <c r="P859" i="20"/>
  <c r="H859" i="20"/>
  <c r="F713" i="20"/>
  <c r="P713" i="20"/>
  <c r="L713" i="20"/>
  <c r="K713" i="20"/>
  <c r="H713" i="20"/>
  <c r="M713" i="20"/>
  <c r="O713" i="20"/>
  <c r="G713" i="20"/>
  <c r="I713" i="20"/>
  <c r="E713" i="20"/>
  <c r="J713" i="20"/>
  <c r="N713" i="20"/>
  <c r="D84" i="28"/>
  <c r="E84" i="28" s="1"/>
  <c r="D662" i="20"/>
  <c r="I712" i="20"/>
  <c r="J712" i="20"/>
  <c r="L712" i="20"/>
  <c r="G712" i="20"/>
  <c r="M712" i="20"/>
  <c r="K712" i="20"/>
  <c r="N712" i="20"/>
  <c r="F712" i="20"/>
  <c r="E712" i="20"/>
  <c r="P712" i="20"/>
  <c r="H712" i="20"/>
  <c r="O712" i="20"/>
  <c r="D661" i="20"/>
  <c r="D83" i="28"/>
  <c r="E83" i="28" s="1"/>
  <c r="H858" i="20"/>
  <c r="E858" i="20"/>
  <c r="P858" i="20"/>
  <c r="O858" i="20"/>
  <c r="I858" i="20"/>
  <c r="N858" i="20"/>
  <c r="J858" i="20"/>
  <c r="F858" i="20"/>
  <c r="L858" i="20"/>
  <c r="G858" i="20"/>
  <c r="M858" i="20"/>
  <c r="K858" i="20"/>
  <c r="D1017" i="20"/>
  <c r="D132" i="28"/>
  <c r="E132" i="28" s="1"/>
  <c r="Q1269" i="20"/>
  <c r="Q1274" i="20" s="1"/>
  <c r="E1293" i="20"/>
  <c r="E1274" i="20"/>
  <c r="D1018" i="20"/>
  <c r="D133" i="28"/>
  <c r="E133" i="28" s="1"/>
  <c r="F1274" i="20"/>
  <c r="F1293" i="20"/>
  <c r="F1300" i="20" s="1"/>
  <c r="J1293" i="20"/>
  <c r="J1300" i="20" s="1"/>
  <c r="J1274" i="20"/>
  <c r="L861" i="20"/>
  <c r="G861" i="20"/>
  <c r="H861" i="20"/>
  <c r="J861" i="20"/>
  <c r="K861" i="20"/>
  <c r="I861" i="20"/>
  <c r="F861" i="20"/>
  <c r="O861" i="20"/>
  <c r="E861" i="20"/>
  <c r="M861" i="20"/>
  <c r="N861" i="20"/>
  <c r="P861" i="20"/>
  <c r="H1047" i="20"/>
  <c r="K1047" i="20"/>
  <c r="N1047" i="20"/>
  <c r="L1047" i="20"/>
  <c r="J1047" i="20"/>
  <c r="E1047" i="20"/>
  <c r="F1047" i="20"/>
  <c r="I1047" i="20"/>
  <c r="G1047" i="20"/>
  <c r="M1047" i="20"/>
  <c r="O1047" i="20"/>
  <c r="P1047" i="20"/>
  <c r="K904" i="20"/>
  <c r="P904" i="20"/>
  <c r="E904" i="20"/>
  <c r="L904" i="20"/>
  <c r="O904" i="20"/>
  <c r="N904" i="20"/>
  <c r="G904" i="20"/>
  <c r="F904" i="20"/>
  <c r="I904" i="20"/>
  <c r="H904" i="20"/>
  <c r="J904" i="20"/>
  <c r="M904" i="20"/>
  <c r="O1293" i="20"/>
  <c r="O1300" i="20" s="1"/>
  <c r="O1274" i="20"/>
  <c r="P1274" i="20"/>
  <c r="P1293" i="20"/>
  <c r="P1300" i="20" s="1"/>
  <c r="M1045" i="20"/>
  <c r="H1045" i="20"/>
  <c r="K1045" i="20"/>
  <c r="O1045" i="20"/>
  <c r="N1045" i="20"/>
  <c r="E1045" i="20"/>
  <c r="F1045" i="20"/>
  <c r="J1045" i="20"/>
  <c r="I1045" i="20"/>
  <c r="P1045" i="20"/>
  <c r="L1045" i="20"/>
  <c r="G1045" i="20"/>
  <c r="D660" i="20"/>
  <c r="D82" i="28"/>
  <c r="E82" i="28" s="1"/>
  <c r="M1293" i="20"/>
  <c r="M1300" i="20" s="1"/>
  <c r="M1274" i="20"/>
  <c r="F905" i="20"/>
  <c r="K905" i="20"/>
  <c r="I905" i="20"/>
  <c r="P905" i="20"/>
  <c r="L905" i="20"/>
  <c r="G905" i="20"/>
  <c r="H905" i="20"/>
  <c r="O905" i="20"/>
  <c r="N905" i="20"/>
  <c r="M905" i="20"/>
  <c r="J905" i="20"/>
  <c r="E905" i="20"/>
  <c r="G1048" i="20"/>
  <c r="P1048" i="20"/>
  <c r="E1048" i="20"/>
  <c r="I1048" i="20"/>
  <c r="K1048" i="20"/>
  <c r="F1048" i="20"/>
  <c r="H1048" i="20"/>
  <c r="M1048" i="20"/>
  <c r="L1048" i="20"/>
  <c r="J1048" i="20"/>
  <c r="O1048" i="20"/>
  <c r="N1048" i="20"/>
  <c r="D1019" i="20"/>
  <c r="D134" i="28"/>
  <c r="E134" i="28" s="1"/>
  <c r="F860" i="20"/>
  <c r="L860" i="20"/>
  <c r="I860" i="20"/>
  <c r="O860" i="20"/>
  <c r="H860" i="20"/>
  <c r="M860" i="20"/>
  <c r="J860" i="20"/>
  <c r="N860" i="20"/>
  <c r="G860" i="20"/>
  <c r="P860" i="20"/>
  <c r="K860" i="20"/>
  <c r="E860" i="20"/>
  <c r="H1293" i="20"/>
  <c r="H1300" i="20" s="1"/>
  <c r="H1274" i="20"/>
  <c r="I1274" i="20"/>
  <c r="I1293" i="20"/>
  <c r="I1300" i="20" s="1"/>
  <c r="K1274" i="20"/>
  <c r="K1293" i="20"/>
  <c r="K1300" i="20" s="1"/>
  <c r="N1274" i="20"/>
  <c r="N1293" i="20"/>
  <c r="N1300" i="20" s="1"/>
  <c r="L902" i="20"/>
  <c r="O902" i="20"/>
  <c r="M902" i="20"/>
  <c r="I902" i="20"/>
  <c r="K902" i="20"/>
  <c r="H902" i="20"/>
  <c r="G902" i="20"/>
  <c r="J902" i="20"/>
  <c r="F902" i="20"/>
  <c r="N902" i="20"/>
  <c r="P902" i="20"/>
  <c r="E902" i="20"/>
  <c r="E710" i="20"/>
  <c r="M710" i="20"/>
  <c r="J710" i="20"/>
  <c r="L710" i="20"/>
  <c r="G710" i="20"/>
  <c r="P710" i="20"/>
  <c r="I710" i="20"/>
  <c r="O710" i="20"/>
  <c r="N710" i="20"/>
  <c r="K710" i="20"/>
  <c r="F710" i="20"/>
  <c r="H710" i="20"/>
  <c r="M1046" i="20"/>
  <c r="K1046" i="20"/>
  <c r="E1046" i="20"/>
  <c r="F1046" i="20"/>
  <c r="H1046" i="20"/>
  <c r="O1046" i="20"/>
  <c r="J1046" i="20"/>
  <c r="L1046" i="20"/>
  <c r="P1046" i="20"/>
  <c r="G1046" i="20"/>
  <c r="I1046" i="20"/>
  <c r="N1046" i="20"/>
  <c r="L711" i="20"/>
  <c r="F711" i="20"/>
  <c r="P711" i="20"/>
  <c r="O711" i="20"/>
  <c r="K711" i="20"/>
  <c r="G711" i="20"/>
  <c r="N711" i="20"/>
  <c r="I711" i="20"/>
  <c r="M711" i="20"/>
  <c r="E711" i="20"/>
  <c r="J711" i="20"/>
  <c r="H711" i="20"/>
  <c r="D1020" i="20"/>
  <c r="D135" i="28"/>
  <c r="E135" i="28" s="1"/>
  <c r="Q1324" i="20"/>
  <c r="D81" i="28"/>
  <c r="E81" i="28" s="1"/>
  <c r="D659" i="20"/>
  <c r="K906" i="20" l="1"/>
  <c r="K908" i="20" s="1"/>
  <c r="N714" i="20"/>
  <c r="N716" i="20" s="1"/>
  <c r="G714" i="20"/>
  <c r="G716" i="20" s="1"/>
  <c r="F906" i="20"/>
  <c r="F908" i="20" s="1"/>
  <c r="L906" i="20"/>
  <c r="L908" i="20" s="1"/>
  <c r="E145" i="28"/>
  <c r="L862" i="20"/>
  <c r="L864" i="20" s="1"/>
  <c r="I862" i="20"/>
  <c r="I864" i="20" s="1"/>
  <c r="J714" i="20"/>
  <c r="P906" i="20"/>
  <c r="P908" i="20" s="1"/>
  <c r="M906" i="20"/>
  <c r="M908" i="20" s="1"/>
  <c r="I1049" i="20"/>
  <c r="I1051" i="20" s="1"/>
  <c r="I288" i="20" s="1"/>
  <c r="M1049" i="20"/>
  <c r="M1051" i="20" s="1"/>
  <c r="M288" i="20" s="1"/>
  <c r="M862" i="20"/>
  <c r="M864" i="20" s="1"/>
  <c r="P862" i="20"/>
  <c r="P864" i="20" s="1"/>
  <c r="E714" i="20"/>
  <c r="Q710" i="20"/>
  <c r="Q904" i="20"/>
  <c r="J1017" i="20"/>
  <c r="P1017" i="20"/>
  <c r="N1017" i="20"/>
  <c r="F1017" i="20"/>
  <c r="K1017" i="20"/>
  <c r="E1017" i="20"/>
  <c r="O1017" i="20"/>
  <c r="G1017" i="20"/>
  <c r="M1017" i="20"/>
  <c r="I1017" i="20"/>
  <c r="H1017" i="20"/>
  <c r="L1017" i="20"/>
  <c r="H862" i="20"/>
  <c r="Q1046" i="20"/>
  <c r="H714" i="20"/>
  <c r="O714" i="20"/>
  <c r="L714" i="20"/>
  <c r="E906" i="20"/>
  <c r="Q902" i="20"/>
  <c r="J906" i="20"/>
  <c r="I906" i="20"/>
  <c r="Q860" i="20"/>
  <c r="G1049" i="20"/>
  <c r="G1051" i="20" s="1"/>
  <c r="J1049" i="20"/>
  <c r="J1051" i="20" s="1"/>
  <c r="O1049" i="20"/>
  <c r="O1051" i="20" s="1"/>
  <c r="Q1047" i="20"/>
  <c r="Q1293" i="20"/>
  <c r="Q1300" i="20" s="1"/>
  <c r="E1300" i="20"/>
  <c r="K862" i="20"/>
  <c r="F862" i="20"/>
  <c r="O862" i="20"/>
  <c r="E90" i="28"/>
  <c r="E92" i="28" s="1"/>
  <c r="E94" i="28"/>
  <c r="Q1048" i="20"/>
  <c r="N1049" i="20"/>
  <c r="N1051" i="20" s="1"/>
  <c r="Q711" i="20"/>
  <c r="F714" i="20"/>
  <c r="I714" i="20"/>
  <c r="G906" i="20"/>
  <c r="F1019" i="20"/>
  <c r="K1019" i="20"/>
  <c r="N1019" i="20"/>
  <c r="L1019" i="20"/>
  <c r="J1019" i="20"/>
  <c r="E1019" i="20"/>
  <c r="H1019" i="20"/>
  <c r="I1019" i="20"/>
  <c r="M1019" i="20"/>
  <c r="P1019" i="20"/>
  <c r="G1019" i="20"/>
  <c r="O1019" i="20"/>
  <c r="L1049" i="20"/>
  <c r="L1051" i="20" s="1"/>
  <c r="F1049" i="20"/>
  <c r="F1051" i="20" s="1"/>
  <c r="K1049" i="20"/>
  <c r="K1051" i="20" s="1"/>
  <c r="Q861" i="20"/>
  <c r="J1018" i="20"/>
  <c r="N1018" i="20"/>
  <c r="F1018" i="20"/>
  <c r="K1018" i="20"/>
  <c r="L1018" i="20"/>
  <c r="P1018" i="20"/>
  <c r="O1018" i="20"/>
  <c r="E1018" i="20"/>
  <c r="M1018" i="20"/>
  <c r="I1018" i="20"/>
  <c r="G1018" i="20"/>
  <c r="H1018" i="20"/>
  <c r="J862" i="20"/>
  <c r="N661" i="20"/>
  <c r="J661" i="20"/>
  <c r="K661" i="20"/>
  <c r="L661" i="20"/>
  <c r="O661" i="20"/>
  <c r="H661" i="20"/>
  <c r="G661" i="20"/>
  <c r="E661" i="20"/>
  <c r="M661" i="20"/>
  <c r="F661" i="20"/>
  <c r="P661" i="20"/>
  <c r="I661" i="20"/>
  <c r="Q712" i="20"/>
  <c r="Q859" i="20"/>
  <c r="L659" i="20"/>
  <c r="N659" i="20"/>
  <c r="K659" i="20"/>
  <c r="I659" i="20"/>
  <c r="P659" i="20"/>
  <c r="F659" i="20"/>
  <c r="G659" i="20"/>
  <c r="M659" i="20"/>
  <c r="E659" i="20"/>
  <c r="J659" i="20"/>
  <c r="H659" i="20"/>
  <c r="O659" i="20"/>
  <c r="G1020" i="20"/>
  <c r="F1020" i="20"/>
  <c r="J1020" i="20"/>
  <c r="N1020" i="20"/>
  <c r="I1020" i="20"/>
  <c r="E1020" i="20"/>
  <c r="L1020" i="20"/>
  <c r="O1020" i="20"/>
  <c r="H1020" i="20"/>
  <c r="P1020" i="20"/>
  <c r="K1020" i="20"/>
  <c r="M1020" i="20"/>
  <c r="K714" i="20"/>
  <c r="P714" i="20"/>
  <c r="M714" i="20"/>
  <c r="N906" i="20"/>
  <c r="H906" i="20"/>
  <c r="O906" i="20"/>
  <c r="Q905" i="20"/>
  <c r="M660" i="20"/>
  <c r="G660" i="20"/>
  <c r="E660" i="20"/>
  <c r="P660" i="20"/>
  <c r="N660" i="20"/>
  <c r="O660" i="20"/>
  <c r="K660" i="20"/>
  <c r="F660" i="20"/>
  <c r="L660" i="20"/>
  <c r="H660" i="20"/>
  <c r="J660" i="20"/>
  <c r="I660" i="20"/>
  <c r="P1049" i="20"/>
  <c r="P1051" i="20" s="1"/>
  <c r="Q1045" i="20"/>
  <c r="E1049" i="20"/>
  <c r="H1049" i="20"/>
  <c r="H1051" i="20" s="1"/>
  <c r="E141" i="28"/>
  <c r="E143" i="28" s="1"/>
  <c r="G862" i="20"/>
  <c r="N862" i="20"/>
  <c r="Q858" i="20"/>
  <c r="E862" i="20"/>
  <c r="K662" i="20"/>
  <c r="O662" i="20"/>
  <c r="E662" i="20"/>
  <c r="H662" i="20"/>
  <c r="I662" i="20"/>
  <c r="M662" i="20"/>
  <c r="P662" i="20"/>
  <c r="L662" i="20"/>
  <c r="F662" i="20"/>
  <c r="N662" i="20"/>
  <c r="J662" i="20"/>
  <c r="G662" i="20"/>
  <c r="Q713" i="20"/>
  <c r="Q903" i="20"/>
  <c r="M1055" i="20" l="1"/>
  <c r="M290" i="20" s="1"/>
  <c r="I1055" i="20"/>
  <c r="I290" i="20" s="1"/>
  <c r="G663" i="20"/>
  <c r="G1271" i="20" s="1"/>
  <c r="H663" i="20"/>
  <c r="H1271" i="20" s="1"/>
  <c r="J716" i="20"/>
  <c r="J184" i="20" s="1"/>
  <c r="H288" i="20"/>
  <c r="H1055" i="20"/>
  <c r="H290" i="20" s="1"/>
  <c r="M868" i="20"/>
  <c r="M234" i="20" s="1"/>
  <c r="M232" i="20"/>
  <c r="E1021" i="20"/>
  <c r="Q1017" i="20"/>
  <c r="P1021" i="20"/>
  <c r="Q862" i="20"/>
  <c r="E864" i="20"/>
  <c r="Q1049" i="20"/>
  <c r="E1051" i="20"/>
  <c r="O908" i="20"/>
  <c r="Q1020" i="20"/>
  <c r="F663" i="20"/>
  <c r="K288" i="20"/>
  <c r="K1055" i="20"/>
  <c r="K290" i="20" s="1"/>
  <c r="F716" i="20"/>
  <c r="F864" i="20"/>
  <c r="G1055" i="20"/>
  <c r="G290" i="20" s="1"/>
  <c r="G288" i="20"/>
  <c r="I908" i="20"/>
  <c r="L716" i="20"/>
  <c r="H864" i="20"/>
  <c r="L232" i="20"/>
  <c r="L868" i="20"/>
  <c r="L234" i="20" s="1"/>
  <c r="M1021" i="20"/>
  <c r="K1021" i="20"/>
  <c r="K1023" i="20" s="1"/>
  <c r="J1021" i="20"/>
  <c r="J1023" i="20" s="1"/>
  <c r="Q714" i="20"/>
  <c r="E716" i="20"/>
  <c r="G864" i="20"/>
  <c r="M716" i="20"/>
  <c r="K663" i="20"/>
  <c r="P912" i="20"/>
  <c r="P241" i="20" s="1"/>
  <c r="P239" i="20"/>
  <c r="I716" i="20"/>
  <c r="L239" i="20"/>
  <c r="L912" i="20"/>
  <c r="L241" i="20" s="1"/>
  <c r="G720" i="20"/>
  <c r="G725" i="20" s="1"/>
  <c r="G186" i="20" s="1"/>
  <c r="G184" i="20"/>
  <c r="O864" i="20"/>
  <c r="J288" i="20"/>
  <c r="J1055" i="20"/>
  <c r="J290" i="20" s="1"/>
  <c r="Q906" i="20"/>
  <c r="E908" i="20"/>
  <c r="I1021" i="20"/>
  <c r="Q660" i="20"/>
  <c r="P716" i="20"/>
  <c r="J663" i="20"/>
  <c r="N663" i="20"/>
  <c r="Q661" i="20"/>
  <c r="P232" i="20"/>
  <c r="P868" i="20"/>
  <c r="P234" i="20" s="1"/>
  <c r="Q662" i="20"/>
  <c r="H908" i="20"/>
  <c r="K716" i="20"/>
  <c r="Q659" i="20"/>
  <c r="E663" i="20"/>
  <c r="P663" i="20"/>
  <c r="L663" i="20"/>
  <c r="Q1018" i="20"/>
  <c r="F288" i="20"/>
  <c r="F1055" i="20"/>
  <c r="F290" i="20" s="1"/>
  <c r="Q1019" i="20"/>
  <c r="M239" i="20"/>
  <c r="M912" i="20"/>
  <c r="M241" i="20" s="1"/>
  <c r="F912" i="20"/>
  <c r="F241" i="20" s="1"/>
  <c r="F239" i="20"/>
  <c r="K864" i="20"/>
  <c r="J908" i="20"/>
  <c r="O716" i="20"/>
  <c r="L1021" i="20"/>
  <c r="G1021" i="20"/>
  <c r="G1023" i="20" s="1"/>
  <c r="F1021" i="20"/>
  <c r="F1023" i="20" s="1"/>
  <c r="K912" i="20"/>
  <c r="K241" i="20" s="1"/>
  <c r="K239" i="20"/>
  <c r="N720" i="20"/>
  <c r="N725" i="20" s="1"/>
  <c r="N186" i="20" s="1"/>
  <c r="N184" i="20"/>
  <c r="N864" i="20"/>
  <c r="P288" i="20"/>
  <c r="P1055" i="20"/>
  <c r="P290" i="20" s="1"/>
  <c r="N908" i="20"/>
  <c r="O663" i="20"/>
  <c r="M663" i="20"/>
  <c r="I663" i="20"/>
  <c r="J864" i="20"/>
  <c r="L288" i="20"/>
  <c r="L1055" i="20"/>
  <c r="L290" i="20" s="1"/>
  <c r="G908" i="20"/>
  <c r="N1055" i="20"/>
  <c r="N290" i="20" s="1"/>
  <c r="N288" i="20"/>
  <c r="O1055" i="20"/>
  <c r="O290" i="20" s="1"/>
  <c r="O288" i="20"/>
  <c r="H716" i="20"/>
  <c r="I232" i="20"/>
  <c r="I868" i="20"/>
  <c r="I234" i="20" s="1"/>
  <c r="H1021" i="20"/>
  <c r="H1023" i="20" s="1"/>
  <c r="O1021" i="20"/>
  <c r="O1023" i="20" s="1"/>
  <c r="N1021" i="20"/>
  <c r="N1023" i="20" s="1"/>
  <c r="J720" i="20" l="1"/>
  <c r="J725" i="20" s="1"/>
  <c r="J186" i="20" s="1"/>
  <c r="G665" i="20"/>
  <c r="G157" i="20" s="1"/>
  <c r="H665" i="20"/>
  <c r="H669" i="20" s="1"/>
  <c r="H674" i="20" s="1"/>
  <c r="H159" i="20" s="1"/>
  <c r="O1027" i="20"/>
  <c r="O262" i="20" s="1"/>
  <c r="O260" i="20"/>
  <c r="J868" i="20"/>
  <c r="J234" i="20" s="1"/>
  <c r="J232" i="20"/>
  <c r="O1271" i="20"/>
  <c r="O665" i="20"/>
  <c r="G260" i="20"/>
  <c r="G1027" i="20"/>
  <c r="G262" i="20" s="1"/>
  <c r="J912" i="20"/>
  <c r="J241" i="20" s="1"/>
  <c r="J239" i="20"/>
  <c r="Q663" i="20"/>
  <c r="E1271" i="20"/>
  <c r="E665" i="20"/>
  <c r="I1271" i="20"/>
  <c r="I665" i="20"/>
  <c r="N868" i="20"/>
  <c r="N234" i="20" s="1"/>
  <c r="N232" i="20"/>
  <c r="O184" i="20"/>
  <c r="O720" i="20"/>
  <c r="O725" i="20" s="1"/>
  <c r="O186" i="20" s="1"/>
  <c r="L1271" i="20"/>
  <c r="L665" i="20"/>
  <c r="K720" i="20"/>
  <c r="K725" i="20" s="1"/>
  <c r="K186" i="20" s="1"/>
  <c r="K184" i="20"/>
  <c r="N1271" i="20"/>
  <c r="N665" i="20"/>
  <c r="M184" i="20"/>
  <c r="M720" i="20"/>
  <c r="M725" i="20" s="1"/>
  <c r="M186" i="20" s="1"/>
  <c r="Q716" i="20"/>
  <c r="E184" i="20"/>
  <c r="E720" i="20"/>
  <c r="K260" i="20"/>
  <c r="K1027" i="20"/>
  <c r="K262" i="20" s="1"/>
  <c r="H868" i="20"/>
  <c r="H234" i="20" s="1"/>
  <c r="H232" i="20"/>
  <c r="I912" i="20"/>
  <c r="I241" i="20" s="1"/>
  <c r="I239" i="20"/>
  <c r="F232" i="20"/>
  <c r="F868" i="20"/>
  <c r="F234" i="20" s="1"/>
  <c r="O912" i="20"/>
  <c r="O241" i="20" s="1"/>
  <c r="O239" i="20"/>
  <c r="Q864" i="20"/>
  <c r="E868" i="20"/>
  <c r="E232" i="20"/>
  <c r="N1027" i="20"/>
  <c r="N262" i="20" s="1"/>
  <c r="N260" i="20"/>
  <c r="M1271" i="20"/>
  <c r="M665" i="20"/>
  <c r="F1027" i="20"/>
  <c r="F262" i="20" s="1"/>
  <c r="F260" i="20"/>
  <c r="K232" i="20"/>
  <c r="K868" i="20"/>
  <c r="K234" i="20" s="1"/>
  <c r="P1271" i="20"/>
  <c r="P665" i="20"/>
  <c r="J1271" i="20"/>
  <c r="J665" i="20"/>
  <c r="I1023" i="20"/>
  <c r="K1271" i="20"/>
  <c r="K665" i="20"/>
  <c r="M1023" i="20"/>
  <c r="Q1021" i="20"/>
  <c r="E1023" i="20"/>
  <c r="H720" i="20"/>
  <c r="H725" i="20" s="1"/>
  <c r="H186" i="20" s="1"/>
  <c r="H184" i="20"/>
  <c r="G912" i="20"/>
  <c r="G241" i="20" s="1"/>
  <c r="G239" i="20"/>
  <c r="H239" i="20"/>
  <c r="H912" i="20"/>
  <c r="H241" i="20" s="1"/>
  <c r="P184" i="20"/>
  <c r="P720" i="20"/>
  <c r="P725" i="20" s="1"/>
  <c r="P186" i="20" s="1"/>
  <c r="E912" i="20"/>
  <c r="E239" i="20"/>
  <c r="Q908" i="20"/>
  <c r="I184" i="20"/>
  <c r="I720" i="20"/>
  <c r="I725" i="20" s="1"/>
  <c r="I186" i="20" s="1"/>
  <c r="G232" i="20"/>
  <c r="G868" i="20"/>
  <c r="G234" i="20" s="1"/>
  <c r="L184" i="20"/>
  <c r="L720" i="20"/>
  <c r="L725" i="20" s="1"/>
  <c r="L186" i="20" s="1"/>
  <c r="F1271" i="20"/>
  <c r="F665" i="20"/>
  <c r="E288" i="20"/>
  <c r="Q288" i="20" s="1"/>
  <c r="E1055" i="20"/>
  <c r="Q1051" i="20"/>
  <c r="H260" i="20"/>
  <c r="H1027" i="20"/>
  <c r="H262" i="20" s="1"/>
  <c r="N239" i="20"/>
  <c r="N912" i="20"/>
  <c r="N241" i="20" s="1"/>
  <c r="L1023" i="20"/>
  <c r="O868" i="20"/>
  <c r="O234" i="20" s="1"/>
  <c r="O232" i="20"/>
  <c r="J260" i="20"/>
  <c r="J1027" i="20"/>
  <c r="J262" i="20" s="1"/>
  <c r="F184" i="20"/>
  <c r="F720" i="20"/>
  <c r="F725" i="20" s="1"/>
  <c r="F186" i="20" s="1"/>
  <c r="P1023" i="20"/>
  <c r="H157" i="20" l="1"/>
  <c r="G669" i="20"/>
  <c r="G674" i="20" s="1"/>
  <c r="G159" i="20" s="1"/>
  <c r="F67" i="22"/>
  <c r="H20" i="20"/>
  <c r="P157" i="20"/>
  <c r="P669" i="20"/>
  <c r="P674" i="20" s="1"/>
  <c r="P159" i="20" s="1"/>
  <c r="E234" i="20"/>
  <c r="Q868" i="20"/>
  <c r="E725" i="20"/>
  <c r="Q720" i="20"/>
  <c r="N157" i="20"/>
  <c r="N669" i="20"/>
  <c r="N674" i="20" s="1"/>
  <c r="N159" i="20" s="1"/>
  <c r="L157" i="20"/>
  <c r="L669" i="20"/>
  <c r="L674" i="20" s="1"/>
  <c r="L159" i="20" s="1"/>
  <c r="Q1271" i="20"/>
  <c r="P260" i="20"/>
  <c r="P1027" i="20"/>
  <c r="P262" i="20" s="1"/>
  <c r="F669" i="20"/>
  <c r="F674" i="20" s="1"/>
  <c r="F159" i="20" s="1"/>
  <c r="F157" i="20"/>
  <c r="Q184" i="20"/>
  <c r="H58" i="26"/>
  <c r="L260" i="20"/>
  <c r="L1027" i="20"/>
  <c r="L262" i="20" s="1"/>
  <c r="Q912" i="20"/>
  <c r="E241" i="20"/>
  <c r="Q1023" i="20"/>
  <c r="E1027" i="20"/>
  <c r="E260" i="20"/>
  <c r="M1027" i="20"/>
  <c r="M262" i="20" s="1"/>
  <c r="M260" i="20"/>
  <c r="I1027" i="20"/>
  <c r="I262" i="20" s="1"/>
  <c r="I260" i="20"/>
  <c r="M669" i="20"/>
  <c r="M674" i="20" s="1"/>
  <c r="M159" i="20" s="1"/>
  <c r="M157" i="20"/>
  <c r="I669" i="20"/>
  <c r="I674" i="20" s="1"/>
  <c r="I159" i="20" s="1"/>
  <c r="I157" i="20"/>
  <c r="O157" i="20"/>
  <c r="O669" i="20"/>
  <c r="O674" i="20" s="1"/>
  <c r="O159" i="20" s="1"/>
  <c r="Q1055" i="20"/>
  <c r="E290" i="20"/>
  <c r="Q290" i="20" s="1"/>
  <c r="H42" i="14" s="1"/>
  <c r="I42" i="14" s="1"/>
  <c r="J42" i="14" s="1"/>
  <c r="Q239" i="20"/>
  <c r="K157" i="20"/>
  <c r="K669" i="20"/>
  <c r="K674" i="20" s="1"/>
  <c r="K159" i="20" s="1"/>
  <c r="J669" i="20"/>
  <c r="J674" i="20" s="1"/>
  <c r="J159" i="20" s="1"/>
  <c r="J157" i="20"/>
  <c r="Q232" i="20"/>
  <c r="Q665" i="20"/>
  <c r="E157" i="20"/>
  <c r="E669" i="20"/>
  <c r="G20" i="20" l="1"/>
  <c r="E67" i="22"/>
  <c r="G58" i="26"/>
  <c r="L20" i="20"/>
  <c r="J67" i="22"/>
  <c r="N67" i="22"/>
  <c r="P20" i="20"/>
  <c r="Q157" i="20"/>
  <c r="M67" i="22"/>
  <c r="O20" i="20"/>
  <c r="E262" i="20"/>
  <c r="Q262" i="20" s="1"/>
  <c r="H41" i="14" s="1"/>
  <c r="I41" i="14" s="1"/>
  <c r="J41" i="14" s="1"/>
  <c r="Q1027" i="20"/>
  <c r="D67" i="22"/>
  <c r="F20" i="20"/>
  <c r="Q725" i="20"/>
  <c r="E186" i="20"/>
  <c r="Q669" i="20"/>
  <c r="E674" i="20"/>
  <c r="G67" i="22"/>
  <c r="I20" i="20"/>
  <c r="M20" i="20"/>
  <c r="K67" i="22"/>
  <c r="Q260" i="20"/>
  <c r="H67" i="22"/>
  <c r="J20" i="20"/>
  <c r="N20" i="20"/>
  <c r="L67" i="22"/>
  <c r="I67" i="22"/>
  <c r="K20" i="20"/>
  <c r="Q241" i="20"/>
  <c r="H38" i="14" s="1"/>
  <c r="I38" i="14" s="1"/>
  <c r="J38" i="14" s="1"/>
  <c r="Q234" i="20"/>
  <c r="H37" i="14" s="1"/>
  <c r="I37" i="14" s="1"/>
  <c r="J37" i="14" s="1"/>
  <c r="Q186" i="20" l="1"/>
  <c r="H30" i="14" s="1"/>
  <c r="I30" i="14" s="1"/>
  <c r="J30" i="14" s="1"/>
  <c r="Q674" i="20"/>
  <c r="E159" i="20"/>
  <c r="I58" i="26"/>
  <c r="J58" i="26"/>
  <c r="C67" i="22" l="1"/>
  <c r="Q159" i="20"/>
  <c r="E20" i="20"/>
  <c r="J68" i="26"/>
  <c r="J65" i="26"/>
  <c r="H29" i="14" l="1"/>
  <c r="H14" i="26"/>
  <c r="O67" i="22"/>
  <c r="Q20" i="20"/>
  <c r="E45" i="19" l="1"/>
  <c r="G14" i="26"/>
  <c r="I29" i="14"/>
  <c r="I14" i="26" l="1"/>
  <c r="J14" i="26"/>
  <c r="J29" i="14"/>
  <c r="F45" i="19"/>
  <c r="J21" i="26" l="1"/>
  <c r="J24" i="26"/>
  <c r="F245" i="26" l="1"/>
  <c r="E25" i="27" s="1"/>
  <c r="G247" i="26"/>
  <c r="K245" i="26"/>
  <c r="K247" i="26" s="1"/>
  <c r="K249" i="26" s="1"/>
  <c r="Q36" i="1" l="1"/>
  <c r="D760" i="20" s="1"/>
  <c r="Q45" i="1"/>
  <c r="D974" i="20" s="1"/>
  <c r="Q53" i="1"/>
  <c r="D1218" i="20" s="1"/>
  <c r="Q44" i="1"/>
  <c r="D947" i="20" s="1"/>
  <c r="N947" i="20" l="1"/>
  <c r="I947" i="20"/>
  <c r="H947" i="20"/>
  <c r="J947" i="20"/>
  <c r="E947" i="20"/>
  <c r="O947" i="20"/>
  <c r="F947" i="20"/>
  <c r="P947" i="20"/>
  <c r="K947" i="20"/>
  <c r="M947" i="20"/>
  <c r="L947" i="20"/>
  <c r="G947" i="20"/>
  <c r="G974" i="20"/>
  <c r="K974" i="20"/>
  <c r="O974" i="20"/>
  <c r="H974" i="20"/>
  <c r="L974" i="20"/>
  <c r="P974" i="20"/>
  <c r="I974" i="20"/>
  <c r="M974" i="20"/>
  <c r="E974" i="20"/>
  <c r="F974" i="20"/>
  <c r="J974" i="20"/>
  <c r="N974" i="20"/>
  <c r="H760" i="20"/>
  <c r="H762" i="20" s="1"/>
  <c r="M760" i="20"/>
  <c r="M762" i="20" s="1"/>
  <c r="N760" i="20"/>
  <c r="N762" i="20" s="1"/>
  <c r="L760" i="20"/>
  <c r="L762" i="20" s="1"/>
  <c r="E760" i="20"/>
  <c r="G760" i="20"/>
  <c r="G762" i="20" s="1"/>
  <c r="P760" i="20"/>
  <c r="P762" i="20" s="1"/>
  <c r="F760" i="20"/>
  <c r="F762" i="20" s="1"/>
  <c r="K760" i="20"/>
  <c r="K762" i="20" s="1"/>
  <c r="I760" i="20"/>
  <c r="I762" i="20" s="1"/>
  <c r="J760" i="20"/>
  <c r="J762" i="20" s="1"/>
  <c r="O760" i="20"/>
  <c r="O762" i="20" s="1"/>
  <c r="D183" i="28"/>
  <c r="E183" i="28" s="1"/>
  <c r="E190" i="28" s="1"/>
  <c r="E192" i="28" s="1"/>
  <c r="F1218" i="20"/>
  <c r="F1219" i="20" s="1"/>
  <c r="F1221" i="20" s="1"/>
  <c r="G1218" i="20"/>
  <c r="G1219" i="20" s="1"/>
  <c r="G1221" i="20" s="1"/>
  <c r="E1218" i="20"/>
  <c r="O1218" i="20"/>
  <c r="O1219" i="20" s="1"/>
  <c r="O1221" i="20" s="1"/>
  <c r="M1218" i="20"/>
  <c r="M1219" i="20" s="1"/>
  <c r="M1221" i="20" s="1"/>
  <c r="K1218" i="20"/>
  <c r="K1219" i="20" s="1"/>
  <c r="K1221" i="20" s="1"/>
  <c r="I1218" i="20"/>
  <c r="I1219" i="20" s="1"/>
  <c r="I1221" i="20" s="1"/>
  <c r="N1218" i="20"/>
  <c r="N1219" i="20" s="1"/>
  <c r="N1221" i="20" s="1"/>
  <c r="J1218" i="20"/>
  <c r="J1219" i="20" s="1"/>
  <c r="J1221" i="20" s="1"/>
  <c r="L1218" i="20"/>
  <c r="L1219" i="20" s="1"/>
  <c r="L1221" i="20" s="1"/>
  <c r="P1218" i="20"/>
  <c r="P1219" i="20" s="1"/>
  <c r="P1221" i="20" s="1"/>
  <c r="H1218" i="20"/>
  <c r="H1219" i="20" s="1"/>
  <c r="H1221" i="20" s="1"/>
  <c r="K975" i="20"/>
  <c r="K976" i="20" s="1"/>
  <c r="H975" i="20"/>
  <c r="N975" i="20"/>
  <c r="N976" i="20" s="1"/>
  <c r="L975" i="20"/>
  <c r="L976" i="20" s="1"/>
  <c r="I975" i="20"/>
  <c r="P975" i="20"/>
  <c r="P976" i="20" s="1"/>
  <c r="O975" i="20"/>
  <c r="O976" i="20" s="1"/>
  <c r="G975" i="20"/>
  <c r="G976" i="20" s="1"/>
  <c r="E975" i="20"/>
  <c r="J975" i="20"/>
  <c r="J976" i="20" s="1"/>
  <c r="F975" i="20"/>
  <c r="F976" i="20" s="1"/>
  <c r="M975" i="20"/>
  <c r="M976" i="20" l="1"/>
  <c r="Q974" i="20"/>
  <c r="Q947" i="20"/>
  <c r="H976" i="20"/>
  <c r="H1320" i="20" s="1"/>
  <c r="H1321" i="20" s="1"/>
  <c r="I976" i="20"/>
  <c r="I978" i="20" s="1"/>
  <c r="F978" i="20"/>
  <c r="F1320" i="20"/>
  <c r="F1321" i="20" s="1"/>
  <c r="J978" i="20"/>
  <c r="J1320" i="20"/>
  <c r="J1321" i="20" s="1"/>
  <c r="P978" i="20"/>
  <c r="P1320" i="20"/>
  <c r="P1321" i="20" s="1"/>
  <c r="H978" i="20"/>
  <c r="L1225" i="20"/>
  <c r="L352" i="20" s="1"/>
  <c r="L350" i="20"/>
  <c r="K350" i="20"/>
  <c r="K1225" i="20"/>
  <c r="K352" i="20" s="1"/>
  <c r="G1225" i="20"/>
  <c r="G352" i="20" s="1"/>
  <c r="G350" i="20"/>
  <c r="O764" i="20"/>
  <c r="O1279" i="20"/>
  <c r="F764" i="20"/>
  <c r="F1279" i="20"/>
  <c r="L764" i="20"/>
  <c r="L1279" i="20"/>
  <c r="Q975" i="20"/>
  <c r="E976" i="20"/>
  <c r="I1320" i="20"/>
  <c r="I1321" i="20" s="1"/>
  <c r="K978" i="20"/>
  <c r="K1320" i="20"/>
  <c r="K1321" i="20" s="1"/>
  <c r="J350" i="20"/>
  <c r="J1225" i="20"/>
  <c r="J352" i="20" s="1"/>
  <c r="M1225" i="20"/>
  <c r="M352" i="20" s="1"/>
  <c r="M350" i="20"/>
  <c r="F350" i="20"/>
  <c r="F1225" i="20"/>
  <c r="F352" i="20" s="1"/>
  <c r="J764" i="20"/>
  <c r="J1279" i="20"/>
  <c r="P764" i="20"/>
  <c r="P1279" i="20"/>
  <c r="N764" i="20"/>
  <c r="N1279" i="20"/>
  <c r="M978" i="20"/>
  <c r="M1320" i="20"/>
  <c r="M1321" i="20" s="1"/>
  <c r="G978" i="20"/>
  <c r="G1320" i="20"/>
  <c r="G1321" i="20" s="1"/>
  <c r="L978" i="20"/>
  <c r="L1320" i="20"/>
  <c r="L1321" i="20" s="1"/>
  <c r="H1225" i="20"/>
  <c r="H352" i="20" s="1"/>
  <c r="H350" i="20"/>
  <c r="N1225" i="20"/>
  <c r="N352" i="20" s="1"/>
  <c r="N350" i="20"/>
  <c r="O1225" i="20"/>
  <c r="O352" i="20" s="1"/>
  <c r="O350" i="20"/>
  <c r="H948" i="20"/>
  <c r="H949" i="20" s="1"/>
  <c r="K948" i="20"/>
  <c r="K949" i="20" s="1"/>
  <c r="E948" i="20"/>
  <c r="J948" i="20"/>
  <c r="J949" i="20" s="1"/>
  <c r="G948" i="20"/>
  <c r="G949" i="20" s="1"/>
  <c r="L948" i="20"/>
  <c r="L949" i="20" s="1"/>
  <c r="M948" i="20"/>
  <c r="M949" i="20" s="1"/>
  <c r="I948" i="20"/>
  <c r="I949" i="20" s="1"/>
  <c r="F948" i="20"/>
  <c r="F949" i="20" s="1"/>
  <c r="O948" i="20"/>
  <c r="O949" i="20" s="1"/>
  <c r="N948" i="20"/>
  <c r="N949" i="20" s="1"/>
  <c r="P948" i="20"/>
  <c r="P949" i="20" s="1"/>
  <c r="I764" i="20"/>
  <c r="I1279" i="20"/>
  <c r="G764" i="20"/>
  <c r="G1279" i="20"/>
  <c r="M764" i="20"/>
  <c r="M1279" i="20"/>
  <c r="O978" i="20"/>
  <c r="O1320" i="20"/>
  <c r="O1321" i="20" s="1"/>
  <c r="N978" i="20"/>
  <c r="N1320" i="20"/>
  <c r="N1321" i="20" s="1"/>
  <c r="P1225" i="20"/>
  <c r="P352" i="20" s="1"/>
  <c r="P350" i="20"/>
  <c r="I350" i="20"/>
  <c r="I1225" i="20"/>
  <c r="I352" i="20" s="1"/>
  <c r="Q1218" i="20"/>
  <c r="E1219" i="20"/>
  <c r="K764" i="20"/>
  <c r="K1279" i="20"/>
  <c r="Q760" i="20"/>
  <c r="E762" i="20"/>
  <c r="H764" i="20"/>
  <c r="H1279" i="20"/>
  <c r="H1282" i="20" l="1"/>
  <c r="H1295" i="20"/>
  <c r="K1282" i="20"/>
  <c r="K1295" i="20"/>
  <c r="M1282" i="20"/>
  <c r="M1295" i="20"/>
  <c r="I1282" i="20"/>
  <c r="I1295" i="20"/>
  <c r="L951" i="20"/>
  <c r="L1314" i="20"/>
  <c r="P1282" i="20"/>
  <c r="P1295" i="20"/>
  <c r="L1282" i="20"/>
  <c r="L1295" i="20"/>
  <c r="O1282" i="20"/>
  <c r="O1295" i="20"/>
  <c r="K768" i="20"/>
  <c r="K773" i="20" s="1"/>
  <c r="K193" i="20" s="1"/>
  <c r="K191" i="20"/>
  <c r="K1333" i="20" s="1"/>
  <c r="N253" i="20"/>
  <c r="N982" i="20"/>
  <c r="N255" i="20" s="1"/>
  <c r="N28" i="20" s="1"/>
  <c r="M191" i="20"/>
  <c r="M1333" i="20" s="1"/>
  <c r="M768" i="20"/>
  <c r="M773" i="20" s="1"/>
  <c r="M193" i="20" s="1"/>
  <c r="I191" i="20"/>
  <c r="I1333" i="20" s="1"/>
  <c r="I768" i="20"/>
  <c r="I773" i="20" s="1"/>
  <c r="I193" i="20" s="1"/>
  <c r="F951" i="20"/>
  <c r="F1314" i="20"/>
  <c r="G951" i="20"/>
  <c r="G1314" i="20"/>
  <c r="H951" i="20"/>
  <c r="H1314" i="20"/>
  <c r="L253" i="20"/>
  <c r="L982" i="20"/>
  <c r="L255" i="20" s="1"/>
  <c r="L28" i="20" s="1"/>
  <c r="M253" i="20"/>
  <c r="M982" i="20"/>
  <c r="M255" i="20" s="1"/>
  <c r="M28" i="20" s="1"/>
  <c r="P191" i="20"/>
  <c r="P1333" i="20" s="1"/>
  <c r="P768" i="20"/>
  <c r="P773" i="20" s="1"/>
  <c r="P193" i="20" s="1"/>
  <c r="I253" i="20"/>
  <c r="I982" i="20"/>
  <c r="I255" i="20" s="1"/>
  <c r="I28" i="20" s="1"/>
  <c r="L191" i="20"/>
  <c r="L1333" i="20" s="1"/>
  <c r="L768" i="20"/>
  <c r="L773" i="20" s="1"/>
  <c r="L193" i="20" s="1"/>
  <c r="O191" i="20"/>
  <c r="O1333" i="20" s="1"/>
  <c r="O768" i="20"/>
  <c r="O773" i="20" s="1"/>
  <c r="O193" i="20" s="1"/>
  <c r="H253" i="20"/>
  <c r="H982" i="20"/>
  <c r="H255" i="20" s="1"/>
  <c r="H28" i="20" s="1"/>
  <c r="J253" i="20"/>
  <c r="J982" i="20"/>
  <c r="J255" i="20" s="1"/>
  <c r="J28" i="20" s="1"/>
  <c r="Q762" i="20"/>
  <c r="H60" i="26" s="1"/>
  <c r="G60" i="26" s="1"/>
  <c r="E764" i="20"/>
  <c r="E1279" i="20"/>
  <c r="E1221" i="20"/>
  <c r="Q1219" i="20"/>
  <c r="G1282" i="20"/>
  <c r="G1295" i="20"/>
  <c r="P951" i="20"/>
  <c r="P1314" i="20"/>
  <c r="I951" i="20"/>
  <c r="I1314" i="20"/>
  <c r="J951" i="20"/>
  <c r="J1314" i="20"/>
  <c r="N1282" i="20"/>
  <c r="N1295" i="20"/>
  <c r="J1282" i="20"/>
  <c r="J1295" i="20"/>
  <c r="Q976" i="20"/>
  <c r="E978" i="20"/>
  <c r="E1320" i="20"/>
  <c r="F1282" i="20"/>
  <c r="F1295" i="20"/>
  <c r="O951" i="20"/>
  <c r="O1314" i="20"/>
  <c r="K951" i="20"/>
  <c r="K1314" i="20"/>
  <c r="H768" i="20"/>
  <c r="H773" i="20" s="1"/>
  <c r="H193" i="20" s="1"/>
  <c r="H191" i="20"/>
  <c r="H1333" i="20" s="1"/>
  <c r="O982" i="20"/>
  <c r="O255" i="20" s="1"/>
  <c r="O28" i="20" s="1"/>
  <c r="O253" i="20"/>
  <c r="G191" i="20"/>
  <c r="G1333" i="20" s="1"/>
  <c r="G768" i="20"/>
  <c r="G773" i="20" s="1"/>
  <c r="G193" i="20" s="1"/>
  <c r="N951" i="20"/>
  <c r="N1314" i="20"/>
  <c r="M951" i="20"/>
  <c r="M1314" i="20"/>
  <c r="Q948" i="20"/>
  <c r="E949" i="20"/>
  <c r="G253" i="20"/>
  <c r="G982" i="20"/>
  <c r="G255" i="20" s="1"/>
  <c r="G28" i="20" s="1"/>
  <c r="N191" i="20"/>
  <c r="N1333" i="20" s="1"/>
  <c r="N768" i="20"/>
  <c r="N773" i="20" s="1"/>
  <c r="N193" i="20" s="1"/>
  <c r="J768" i="20"/>
  <c r="J773" i="20" s="1"/>
  <c r="J193" i="20" s="1"/>
  <c r="J191" i="20"/>
  <c r="J1333" i="20" s="1"/>
  <c r="K982" i="20"/>
  <c r="K255" i="20" s="1"/>
  <c r="K28" i="20" s="1"/>
  <c r="K253" i="20"/>
  <c r="F768" i="20"/>
  <c r="F773" i="20" s="1"/>
  <c r="F193" i="20" s="1"/>
  <c r="F191" i="20"/>
  <c r="F1333" i="20" s="1"/>
  <c r="P253" i="20"/>
  <c r="P982" i="20"/>
  <c r="P255" i="20" s="1"/>
  <c r="P28" i="20" s="1"/>
  <c r="F982" i="20"/>
  <c r="F255" i="20" s="1"/>
  <c r="F28" i="20" s="1"/>
  <c r="F253" i="20"/>
  <c r="L68" i="22" l="1"/>
  <c r="L70" i="22" s="1"/>
  <c r="N21" i="20"/>
  <c r="N23" i="20" s="1"/>
  <c r="N1335" i="20"/>
  <c r="Q949" i="20"/>
  <c r="H59" i="26" s="1"/>
  <c r="E951" i="20"/>
  <c r="E1314" i="20"/>
  <c r="K1326" i="20"/>
  <c r="K1329" i="20" s="1"/>
  <c r="K1315" i="20"/>
  <c r="I246" i="20"/>
  <c r="I1337" i="20" s="1"/>
  <c r="I955" i="20"/>
  <c r="I248" i="20" s="1"/>
  <c r="I361" i="20" s="1"/>
  <c r="E768" i="20"/>
  <c r="E191" i="20"/>
  <c r="Q764" i="20"/>
  <c r="L21" i="20"/>
  <c r="L23" i="20" s="1"/>
  <c r="J68" i="22"/>
  <c r="J70" i="22" s="1"/>
  <c r="L1335" i="20"/>
  <c r="N68" i="22"/>
  <c r="N70" i="22" s="1"/>
  <c r="P21" i="20"/>
  <c r="P23" i="20" s="1"/>
  <c r="P1335" i="20"/>
  <c r="G1315" i="20"/>
  <c r="G1326" i="20"/>
  <c r="G1329" i="20" s="1"/>
  <c r="G246" i="20"/>
  <c r="G1337" i="20" s="1"/>
  <c r="G955" i="20"/>
  <c r="G248" i="20" s="1"/>
  <c r="G361" i="20" s="1"/>
  <c r="M1315" i="20"/>
  <c r="M1326" i="20"/>
  <c r="M1329" i="20" s="1"/>
  <c r="E68" i="22"/>
  <c r="E70" i="22" s="1"/>
  <c r="G21" i="20"/>
  <c r="G23" i="20" s="1"/>
  <c r="G1335" i="20"/>
  <c r="O1315" i="20"/>
  <c r="O1326" i="20"/>
  <c r="O1329" i="20" s="1"/>
  <c r="E1321" i="20"/>
  <c r="Q1320" i="20"/>
  <c r="Q1321" i="20" s="1"/>
  <c r="J955" i="20"/>
  <c r="J248" i="20" s="1"/>
  <c r="J361" i="20" s="1"/>
  <c r="J246" i="20"/>
  <c r="J1337" i="20" s="1"/>
  <c r="P955" i="20"/>
  <c r="P248" i="20" s="1"/>
  <c r="P246" i="20"/>
  <c r="P1337" i="20" s="1"/>
  <c r="Q1221" i="20"/>
  <c r="E1225" i="20"/>
  <c r="E350" i="20"/>
  <c r="Q350" i="20" s="1"/>
  <c r="M68" i="22"/>
  <c r="M70" i="22" s="1"/>
  <c r="O21" i="20"/>
  <c r="O23" i="20" s="1"/>
  <c r="O1335" i="20"/>
  <c r="H1326" i="20"/>
  <c r="H1329" i="20" s="1"/>
  <c r="H1315" i="20"/>
  <c r="F1326" i="20"/>
  <c r="F1329" i="20" s="1"/>
  <c r="F1315" i="20"/>
  <c r="M21" i="20"/>
  <c r="M23" i="20" s="1"/>
  <c r="K68" i="22"/>
  <c r="K70" i="22" s="1"/>
  <c r="M1335" i="20"/>
  <c r="L1326" i="20"/>
  <c r="L1329" i="20" s="1"/>
  <c r="L1315" i="20"/>
  <c r="N1326" i="20"/>
  <c r="N1329" i="20" s="1"/>
  <c r="N1315" i="20"/>
  <c r="G68" i="22"/>
  <c r="G70" i="22" s="1"/>
  <c r="I21" i="20"/>
  <c r="I23" i="20" s="1"/>
  <c r="I1335" i="20"/>
  <c r="N955" i="20"/>
  <c r="N248" i="20" s="1"/>
  <c r="N361" i="20" s="1"/>
  <c r="N246" i="20"/>
  <c r="N1337" i="20" s="1"/>
  <c r="K955" i="20"/>
  <c r="K248" i="20" s="1"/>
  <c r="K361" i="20" s="1"/>
  <c r="K246" i="20"/>
  <c r="K1337" i="20" s="1"/>
  <c r="J1326" i="20"/>
  <c r="J1329" i="20" s="1"/>
  <c r="J1315" i="20"/>
  <c r="P1315" i="20"/>
  <c r="P1326" i="20"/>
  <c r="P1329" i="20" s="1"/>
  <c r="F21" i="20"/>
  <c r="F23" i="20" s="1"/>
  <c r="D68" i="22"/>
  <c r="D70" i="22" s="1"/>
  <c r="F1335" i="20"/>
  <c r="H68" i="22"/>
  <c r="H70" i="22" s="1"/>
  <c r="J21" i="20"/>
  <c r="J23" i="20" s="1"/>
  <c r="J1335" i="20"/>
  <c r="M955" i="20"/>
  <c r="M248" i="20" s="1"/>
  <c r="M361" i="20" s="1"/>
  <c r="M246" i="20"/>
  <c r="M1337" i="20" s="1"/>
  <c r="H21" i="20"/>
  <c r="H23" i="20" s="1"/>
  <c r="H1335" i="20"/>
  <c r="F68" i="22"/>
  <c r="F70" i="22" s="1"/>
  <c r="O246" i="20"/>
  <c r="O1337" i="20" s="1"/>
  <c r="O955" i="20"/>
  <c r="O248" i="20" s="1"/>
  <c r="E253" i="20"/>
  <c r="Q253" i="20" s="1"/>
  <c r="E982" i="20"/>
  <c r="Q978" i="20"/>
  <c r="I1326" i="20"/>
  <c r="I1329" i="20" s="1"/>
  <c r="I1315" i="20"/>
  <c r="E1282" i="20"/>
  <c r="Q1279" i="20"/>
  <c r="Q1282" i="20" s="1"/>
  <c r="E1295" i="20"/>
  <c r="Q1295" i="20" s="1"/>
  <c r="H955" i="20"/>
  <c r="H248" i="20" s="1"/>
  <c r="H361" i="20" s="1"/>
  <c r="H246" i="20"/>
  <c r="H1337" i="20" s="1"/>
  <c r="F246" i="20"/>
  <c r="F1337" i="20" s="1"/>
  <c r="F955" i="20"/>
  <c r="F248" i="20" s="1"/>
  <c r="F361" i="20" s="1"/>
  <c r="K21" i="20"/>
  <c r="K23" i="20" s="1"/>
  <c r="I68" i="22"/>
  <c r="I70" i="22" s="1"/>
  <c r="K1335" i="20"/>
  <c r="L955" i="20"/>
  <c r="L248" i="20" s="1"/>
  <c r="L246" i="20"/>
  <c r="L1337" i="20" s="1"/>
  <c r="O27" i="20" l="1"/>
  <c r="O1339" i="20"/>
  <c r="M72" i="22"/>
  <c r="O361" i="20"/>
  <c r="P1339" i="20"/>
  <c r="P1340" i="20" s="1"/>
  <c r="N72" i="22"/>
  <c r="P27" i="20"/>
  <c r="G1336" i="20"/>
  <c r="G72" i="22"/>
  <c r="I27" i="20"/>
  <c r="I1339" i="20"/>
  <c r="I1340" i="20" s="1"/>
  <c r="E1315" i="20"/>
  <c r="E1326" i="20"/>
  <c r="Q1314" i="20"/>
  <c r="Q1315" i="20" s="1"/>
  <c r="K1336" i="20"/>
  <c r="J1336" i="20"/>
  <c r="K1339" i="20"/>
  <c r="K1340" i="20" s="1"/>
  <c r="I72" i="22"/>
  <c r="K27" i="20"/>
  <c r="I1336" i="20"/>
  <c r="M1336" i="20"/>
  <c r="O1341" i="20"/>
  <c r="O1336" i="20"/>
  <c r="E352" i="20"/>
  <c r="Q352" i="20" s="1"/>
  <c r="H48" i="14" s="1"/>
  <c r="I48" i="14" s="1"/>
  <c r="Q1225" i="20"/>
  <c r="O1340" i="20"/>
  <c r="E72" i="22"/>
  <c r="G27" i="20"/>
  <c r="G1339" i="20"/>
  <c r="G1341" i="20" s="1"/>
  <c r="P1336" i="20"/>
  <c r="L1336" i="20"/>
  <c r="E246" i="20"/>
  <c r="E955" i="20"/>
  <c r="Q951" i="20"/>
  <c r="L27" i="20"/>
  <c r="L1339" i="20"/>
  <c r="L1340" i="20" s="1"/>
  <c r="J72" i="22"/>
  <c r="H27" i="20"/>
  <c r="H1339" i="20"/>
  <c r="H1340" i="20" s="1"/>
  <c r="F72" i="22"/>
  <c r="H1336" i="20"/>
  <c r="M27" i="20"/>
  <c r="K72" i="22"/>
  <c r="M1339" i="20"/>
  <c r="M1340" i="20" s="1"/>
  <c r="L72" i="22"/>
  <c r="N27" i="20"/>
  <c r="N1339" i="20"/>
  <c r="N1340" i="20" s="1"/>
  <c r="Q768" i="20"/>
  <c r="E773" i="20"/>
  <c r="N1336" i="20"/>
  <c r="D72" i="22"/>
  <c r="F27" i="20"/>
  <c r="F1339" i="20"/>
  <c r="F1341" i="20" s="1"/>
  <c r="F1336" i="20"/>
  <c r="Q982" i="20"/>
  <c r="E255" i="20"/>
  <c r="J27" i="20"/>
  <c r="H72" i="22"/>
  <c r="J1339" i="20"/>
  <c r="J1340" i="20" s="1"/>
  <c r="P361" i="20"/>
  <c r="L361" i="20"/>
  <c r="Q191" i="20"/>
  <c r="E1333" i="20"/>
  <c r="Q1333" i="20" s="1"/>
  <c r="G59" i="26"/>
  <c r="H78" i="26"/>
  <c r="P1341" i="20" l="1"/>
  <c r="H1341" i="20"/>
  <c r="G1340" i="20"/>
  <c r="M1341" i="20"/>
  <c r="N1341" i="20"/>
  <c r="Q246" i="20"/>
  <c r="E1337" i="20"/>
  <c r="Q1337" i="20" s="1"/>
  <c r="K1341" i="20"/>
  <c r="Q773" i="20"/>
  <c r="E193" i="20"/>
  <c r="L1341" i="20"/>
  <c r="F1340" i="20"/>
  <c r="I1341" i="20"/>
  <c r="J1341" i="20"/>
  <c r="E1329" i="20"/>
  <c r="Q1326" i="20"/>
  <c r="Q1329" i="20" s="1"/>
  <c r="I59" i="26"/>
  <c r="J59" i="26"/>
  <c r="G78" i="26"/>
  <c r="Q255" i="20"/>
  <c r="H40" i="14" s="1"/>
  <c r="I40" i="14" s="1"/>
  <c r="J40" i="14" s="1"/>
  <c r="E28" i="20"/>
  <c r="Q28" i="20" s="1"/>
  <c r="E248" i="20"/>
  <c r="Q955" i="20"/>
  <c r="Q248" i="20" l="1"/>
  <c r="E1339" i="20"/>
  <c r="C72" i="22"/>
  <c r="O72" i="22" s="1"/>
  <c r="E27" i="20"/>
  <c r="I78" i="26"/>
  <c r="J60" i="26"/>
  <c r="J72" i="26"/>
  <c r="J73" i="26"/>
  <c r="J76" i="26"/>
  <c r="Q193" i="20"/>
  <c r="C68" i="22"/>
  <c r="E21" i="20"/>
  <c r="E1335" i="20"/>
  <c r="E361" i="20"/>
  <c r="Q361" i="20" l="1"/>
  <c r="E1340" i="20"/>
  <c r="Q1339" i="20"/>
  <c r="Q1340" i="20" s="1"/>
  <c r="O68" i="22"/>
  <c r="O70" i="22" s="1"/>
  <c r="C70" i="22"/>
  <c r="Q27" i="20"/>
  <c r="H31" i="14"/>
  <c r="H16" i="26"/>
  <c r="E1336" i="20"/>
  <c r="Q1335" i="20"/>
  <c r="E1341" i="20"/>
  <c r="Q21" i="20"/>
  <c r="E23" i="20"/>
  <c r="Q23" i="20" s="1"/>
  <c r="H15" i="26"/>
  <c r="H39" i="14"/>
  <c r="I39" i="14" s="1"/>
  <c r="J39" i="14" s="1"/>
  <c r="Q1341" i="20" l="1"/>
  <c r="I31" i="14"/>
  <c r="I51" i="14" s="1"/>
  <c r="J51" i="14" s="1"/>
  <c r="H51" i="14"/>
  <c r="G15" i="26"/>
  <c r="E46" i="19"/>
  <c r="G16" i="26"/>
  <c r="E47" i="19"/>
  <c r="F47" i="19" s="1"/>
  <c r="F46" i="19" l="1"/>
  <c r="E55" i="19"/>
  <c r="F57" i="19" s="1"/>
  <c r="J15" i="26"/>
  <c r="I15" i="26"/>
  <c r="J28" i="26" l="1"/>
  <c r="J32" i="26"/>
  <c r="J29" i="26"/>
  <c r="J16" i="26"/>
  <c r="F59" i="19"/>
  <c r="F44" i="19"/>
  <c r="F55" i="19" s="1"/>
  <c r="G365" i="20" l="1"/>
  <c r="P365" i="20"/>
  <c r="F365" i="20"/>
  <c r="E365" i="20"/>
  <c r="M365" i="20"/>
  <c r="N365" i="20"/>
  <c r="I365" i="20"/>
  <c r="L365" i="20"/>
  <c r="K365" i="20"/>
  <c r="O365" i="20"/>
  <c r="J365" i="20"/>
  <c r="H365" i="20"/>
  <c r="M371" i="20" l="1"/>
  <c r="M29" i="20"/>
  <c r="M34" i="20" s="1"/>
  <c r="M36" i="20" s="1"/>
  <c r="G371" i="20"/>
  <c r="G29" i="20"/>
  <c r="G34" i="20" s="1"/>
  <c r="G36" i="20" s="1"/>
  <c r="H29" i="20"/>
  <c r="H34" i="20" s="1"/>
  <c r="H36" i="20" s="1"/>
  <c r="H371" i="20"/>
  <c r="L371" i="20"/>
  <c r="L29" i="20"/>
  <c r="L34" i="20" s="1"/>
  <c r="L36" i="20" s="1"/>
  <c r="E371" i="20"/>
  <c r="Q365" i="20"/>
  <c r="H36" i="26" s="1"/>
  <c r="E29" i="20"/>
  <c r="J371" i="20"/>
  <c r="J29" i="20"/>
  <c r="J34" i="20" s="1"/>
  <c r="J36" i="20" s="1"/>
  <c r="I29" i="20"/>
  <c r="I34" i="20" s="1"/>
  <c r="I36" i="20" s="1"/>
  <c r="I371" i="20"/>
  <c r="F371" i="20"/>
  <c r="F29" i="20"/>
  <c r="F34" i="20" s="1"/>
  <c r="F36" i="20" s="1"/>
  <c r="O29" i="20"/>
  <c r="O34" i="20" s="1"/>
  <c r="O36" i="20" s="1"/>
  <c r="O371" i="20"/>
  <c r="N371" i="20"/>
  <c r="N29" i="20"/>
  <c r="N34" i="20" s="1"/>
  <c r="N36" i="20" s="1"/>
  <c r="P371" i="20"/>
  <c r="P29" i="20"/>
  <c r="P34" i="20" s="1"/>
  <c r="P36" i="20" s="1"/>
  <c r="K371" i="20"/>
  <c r="K29" i="20"/>
  <c r="K34" i="20" s="1"/>
  <c r="K36" i="20" s="1"/>
  <c r="I73" i="22" l="1"/>
  <c r="I75" i="22" s="1"/>
  <c r="I78" i="22" s="1"/>
  <c r="K373" i="20"/>
  <c r="L73" i="22"/>
  <c r="L75" i="22" s="1"/>
  <c r="L78" i="22" s="1"/>
  <c r="N373" i="20"/>
  <c r="D73" i="22"/>
  <c r="D75" i="22" s="1"/>
  <c r="D78" i="22" s="1"/>
  <c r="F373" i="20"/>
  <c r="H73" i="22"/>
  <c r="H75" i="22" s="1"/>
  <c r="H78" i="22" s="1"/>
  <c r="J373" i="20"/>
  <c r="M73" i="22"/>
  <c r="M75" i="22" s="1"/>
  <c r="M78" i="22" s="1"/>
  <c r="O373" i="20"/>
  <c r="G73" i="22"/>
  <c r="G75" i="22" s="1"/>
  <c r="G78" i="22" s="1"/>
  <c r="I373" i="20"/>
  <c r="Q29" i="20"/>
  <c r="E34" i="20"/>
  <c r="E36" i="20" s="1"/>
  <c r="Q36" i="20" s="1"/>
  <c r="J73" i="22"/>
  <c r="J75" i="22" s="1"/>
  <c r="J78" i="22" s="1"/>
  <c r="L373" i="20"/>
  <c r="E73" i="22"/>
  <c r="E75" i="22" s="1"/>
  <c r="E78" i="22" s="1"/>
  <c r="G373" i="20"/>
  <c r="N73" i="22"/>
  <c r="N75" i="22" s="1"/>
  <c r="N78" i="22" s="1"/>
  <c r="P373" i="20"/>
  <c r="G36" i="26"/>
  <c r="H42" i="26"/>
  <c r="O113" i="26" s="1"/>
  <c r="F73" i="22"/>
  <c r="F75" i="22" s="1"/>
  <c r="F78" i="22" s="1"/>
  <c r="H373" i="20"/>
  <c r="Q371" i="20"/>
  <c r="Q373" i="20" s="1"/>
  <c r="C73" i="22"/>
  <c r="E373" i="20"/>
  <c r="K73" i="22"/>
  <c r="K75" i="22" s="1"/>
  <c r="K78" i="22" s="1"/>
  <c r="M373" i="20"/>
  <c r="M145" i="26" l="1"/>
  <c r="I36" i="26"/>
  <c r="G42" i="26"/>
  <c r="O73" i="22"/>
  <c r="C75" i="22"/>
  <c r="H55" i="14"/>
  <c r="Q34" i="20"/>
  <c r="C78" i="22" l="1"/>
  <c r="O75" i="22"/>
  <c r="O78" i="22" s="1"/>
  <c r="I42" i="26"/>
  <c r="N113" i="26"/>
  <c r="H61" i="14"/>
  <c r="H63" i="14" s="1"/>
  <c r="I55" i="14"/>
  <c r="I61" i="14" l="1"/>
  <c r="J55" i="14"/>
  <c r="I63" i="14" l="1"/>
  <c r="J63" i="14" s="1"/>
  <c r="J61" i="14"/>
</calcChain>
</file>

<file path=xl/comments1.xml><?xml version="1.0" encoding="utf-8"?>
<comments xmlns="http://schemas.openxmlformats.org/spreadsheetml/2006/main">
  <authors>
    <author>Bell \ Melissa \ J</author>
  </authors>
  <commentList>
    <comment ref="D310" authorId="0" shapeId="0">
      <text>
        <r>
          <rPr>
            <b/>
            <sz val="9"/>
            <color indexed="81"/>
            <rFont val="Tahoma"/>
            <family val="2"/>
          </rPr>
          <t>Bell \ Melissa \ J:</t>
        </r>
        <r>
          <rPr>
            <sz val="9"/>
            <color indexed="81"/>
            <rFont val="Tahoma"/>
            <family val="2"/>
          </rPr>
          <t xml:space="preserve">
Remove Fallback Customer Counts
</t>
        </r>
      </text>
    </comment>
  </commentList>
</comments>
</file>

<file path=xl/comments2.xml><?xml version="1.0" encoding="utf-8"?>
<comments xmlns="http://schemas.openxmlformats.org/spreadsheetml/2006/main">
  <authors>
    <author>Bell \ Melissa \ J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Bell \ Melissa \ J:</t>
        </r>
        <r>
          <rPr>
            <sz val="9"/>
            <color indexed="81"/>
            <rFont val="Tahoma"/>
            <family val="2"/>
          </rPr>
          <t xml:space="preserve">
Double check attachment reference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</rPr>
          <t>Bell \ Melissa \ J:</t>
        </r>
        <r>
          <rPr>
            <sz val="9"/>
            <color indexed="81"/>
            <rFont val="Tahoma"/>
            <family val="2"/>
          </rPr>
          <t xml:space="preserve">
Double check attachment reference</t>
        </r>
      </text>
    </comment>
  </commentList>
</comments>
</file>

<file path=xl/sharedStrings.xml><?xml version="1.0" encoding="utf-8"?>
<sst xmlns="http://schemas.openxmlformats.org/spreadsheetml/2006/main" count="4724" uniqueCount="701">
  <si>
    <t>Rate</t>
  </si>
  <si>
    <t>Line</t>
  </si>
  <si>
    <t>Schedule</t>
  </si>
  <si>
    <t>No.</t>
  </si>
  <si>
    <t>Description</t>
  </si>
  <si>
    <t>Adjusted</t>
  </si>
  <si>
    <t>(1)</t>
  </si>
  <si>
    <t>(2)</t>
  </si>
  <si>
    <t>(4)</t>
  </si>
  <si>
    <t>Total</t>
  </si>
  <si>
    <t>Tariff Sales Summary by Customer Class</t>
  </si>
  <si>
    <t>Total Residential Sales</t>
  </si>
  <si>
    <t>Total Commercial Sales</t>
  </si>
  <si>
    <t>Total Industrial Sales</t>
  </si>
  <si>
    <t>Total Tariff Sales</t>
  </si>
  <si>
    <t>Transportation Summary by Customer Class</t>
  </si>
  <si>
    <t>Total Commercial Transportation</t>
  </si>
  <si>
    <t>Total Industrial Transportation</t>
  </si>
  <si>
    <t>Total Transportation</t>
  </si>
  <si>
    <t>Total Company Throughput</t>
  </si>
  <si>
    <t>Revenue</t>
  </si>
  <si>
    <t>(3)</t>
  </si>
  <si>
    <t>Mcf</t>
  </si>
  <si>
    <t>$/Mcf</t>
  </si>
  <si>
    <t>$</t>
  </si>
  <si>
    <t>Bills</t>
  </si>
  <si>
    <t>Volumes</t>
  </si>
  <si>
    <t>Incremental</t>
  </si>
  <si>
    <t>(Mcf)</t>
  </si>
  <si>
    <t>Mo</t>
  </si>
  <si>
    <t>Proposed</t>
  </si>
  <si>
    <t>Service</t>
  </si>
  <si>
    <t>Began/</t>
  </si>
  <si>
    <t>Acct No.</t>
  </si>
  <si>
    <t>Terminated</t>
  </si>
  <si>
    <t>Total Residential Transportation</t>
  </si>
  <si>
    <t>Columbia Gas of Kentucky, Inc.</t>
  </si>
  <si>
    <t>Schedule M</t>
  </si>
  <si>
    <t xml:space="preserve">Case No. </t>
  </si>
  <si>
    <t>(Gas Service)</t>
  </si>
  <si>
    <t>Code</t>
  </si>
  <si>
    <t>Class/</t>
  </si>
  <si>
    <t>(A)</t>
  </si>
  <si>
    <t>(B)</t>
  </si>
  <si>
    <t>Customer</t>
  </si>
  <si>
    <t>(C)</t>
  </si>
  <si>
    <t>(D)</t>
  </si>
  <si>
    <t>Current</t>
  </si>
  <si>
    <t>Rates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</si>
  <si>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</si>
  <si>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</si>
  <si>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</si>
  <si>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</si>
  <si>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</si>
  <si>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</si>
  <si>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</si>
  <si>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</si>
  <si>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</si>
  <si>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</si>
  <si>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</si>
  <si>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($)</t>
  </si>
  <si>
    <t>(%)</t>
  </si>
  <si>
    <t>Witness:</t>
  </si>
  <si>
    <t>Work Paper Reference No(s):</t>
  </si>
  <si>
    <t>Schedule M-2.1</t>
  </si>
  <si>
    <t>Schedule M-2.3</t>
  </si>
  <si>
    <t>Classification</t>
  </si>
  <si>
    <t>Revenue At</t>
  </si>
  <si>
    <t>Present</t>
  </si>
  <si>
    <t>Change</t>
  </si>
  <si>
    <t>% Of</t>
  </si>
  <si>
    <t>Total Wholesale Sales</t>
  </si>
  <si>
    <t>Total  Wholesale Sales</t>
  </si>
  <si>
    <t>DS3</t>
  </si>
  <si>
    <t>GSO</t>
  </si>
  <si>
    <t>GSR</t>
  </si>
  <si>
    <t>General Service - Residential</t>
  </si>
  <si>
    <t>G1C</t>
  </si>
  <si>
    <t>LG&amp;E Commercial</t>
  </si>
  <si>
    <t>G1R</t>
  </si>
  <si>
    <t>LG&amp;E Residential</t>
  </si>
  <si>
    <t>IN3</t>
  </si>
  <si>
    <t>Inland Gas General Service - Residential</t>
  </si>
  <si>
    <t>Inland Gas General Service - Commercial</t>
  </si>
  <si>
    <t>IN4</t>
  </si>
  <si>
    <t>IN5</t>
  </si>
  <si>
    <t>LG2</t>
  </si>
  <si>
    <t xml:space="preserve">LG&amp;E Residential </t>
  </si>
  <si>
    <t>LG3</t>
  </si>
  <si>
    <t>LG4</t>
  </si>
  <si>
    <t>General Service - Commercial</t>
  </si>
  <si>
    <t>General Service - Industrial</t>
  </si>
  <si>
    <t>IUS</t>
  </si>
  <si>
    <t>Intrastate Utility Service - Wholesale</t>
  </si>
  <si>
    <t>Sales Service</t>
  </si>
  <si>
    <t>Transportation Service</t>
  </si>
  <si>
    <t>GTR</t>
  </si>
  <si>
    <t>GTO</t>
  </si>
  <si>
    <t>FX1</t>
  </si>
  <si>
    <t>FX2</t>
  </si>
  <si>
    <t>FX5</t>
  </si>
  <si>
    <t>SC3</t>
  </si>
  <si>
    <t>Other Gas Department Revenue</t>
  </si>
  <si>
    <t>Acct. 488 Miscellaneous Service Revenue</t>
  </si>
  <si>
    <t>Acct. 495 Non-Traditional Sales</t>
  </si>
  <si>
    <t>Acct. 495 Other Gas Revenues - Other</t>
  </si>
  <si>
    <t>Total Sales and Transportation</t>
  </si>
  <si>
    <t>Total Other Gas Department Revenue</t>
  </si>
  <si>
    <t>Total Gross Revenue</t>
  </si>
  <si>
    <t>RESIDENTIAL</t>
  </si>
  <si>
    <t>All Gas Consumed</t>
  </si>
  <si>
    <t>COMMERCIAL</t>
  </si>
  <si>
    <t>INDUSTRIAL</t>
  </si>
  <si>
    <t>[1] Reflects Normalized Volumes.</t>
  </si>
  <si>
    <t xml:space="preserve">Expected Gas Cost Firm Commodity Rate: </t>
  </si>
  <si>
    <t>WHOLESALE</t>
  </si>
  <si>
    <t xml:space="preserve">GTS Choice - Residential </t>
  </si>
  <si>
    <t>GTS Choice - Commercial</t>
  </si>
  <si>
    <t>GTS Choice - Industrial</t>
  </si>
  <si>
    <t>GTS Special Rate - Industrial</t>
  </si>
  <si>
    <t>GTS Main Line Service - Industrial</t>
  </si>
  <si>
    <t>GTS Flex Rate - Industrial</t>
  </si>
  <si>
    <t>GTS Flex Rate - Commercial</t>
  </si>
  <si>
    <t>and text are shown in black.  Instructions are highlighted in yellow.</t>
  </si>
  <si>
    <t>Input area:</t>
  </si>
  <si>
    <t>Total Other Gas Departnemt Revenue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</si>
  <si>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</si>
  <si>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</si>
  <si>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</si>
  <si>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</si>
  <si>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</si>
  <si>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</si>
  <si>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</si>
  <si>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</si>
  <si>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Current Rates</t>
  </si>
  <si>
    <t>Proposed Rates</t>
  </si>
  <si>
    <t>Less:</t>
  </si>
  <si>
    <t xml:space="preserve">Data entry areas are shown in the color blue.  Calculations </t>
  </si>
  <si>
    <t>FX7</t>
  </si>
  <si>
    <t>SAS</t>
  </si>
  <si>
    <t>GTS Special Agency Service</t>
  </si>
  <si>
    <t>EAP</t>
  </si>
  <si>
    <t>R&amp;D</t>
  </si>
  <si>
    <t>M-2.2</t>
  </si>
  <si>
    <t>EAP Revenue</t>
  </si>
  <si>
    <t>Revenue @</t>
  </si>
  <si>
    <t>DESCRIPTION</t>
  </si>
  <si>
    <t>Increase</t>
  </si>
  <si>
    <t>%</t>
  </si>
  <si>
    <t>Current Rev</t>
  </si>
  <si>
    <t>Inc. (Dec.)</t>
  </si>
  <si>
    <t>Gas Cost Revenue</t>
  </si>
  <si>
    <t>Net Volumetric Base Revenue</t>
  </si>
  <si>
    <t>LG2 Residential</t>
  </si>
  <si>
    <t>LG2 Commercial</t>
  </si>
  <si>
    <t>LG3 Residential</t>
  </si>
  <si>
    <t>LG4 Residential</t>
  </si>
  <si>
    <t>Admin chg.</t>
  </si>
  <si>
    <t>Admin chg</t>
  </si>
  <si>
    <t>GSR/GTR Residential</t>
  </si>
  <si>
    <t>GSR/GTR Rate Design</t>
  </si>
  <si>
    <t>DS</t>
  </si>
  <si>
    <t>GTS Delivery Service - Commercial</t>
  </si>
  <si>
    <t>GTS Delivery Service - Industrial</t>
  </si>
  <si>
    <t>GDS</t>
  </si>
  <si>
    <t>GTS Grandfathered Delivery Service - Commercial</t>
  </si>
  <si>
    <t>GTS Grandfathered Delivery Service - Industrial</t>
  </si>
  <si>
    <t>Test Year Volumes</t>
  </si>
  <si>
    <t>DS-Ind</t>
  </si>
  <si>
    <t>Additional Volumes (First 50 Mcf)</t>
  </si>
  <si>
    <t>Additional Volumes (Next 350 Mcf)</t>
  </si>
  <si>
    <t>Additional Volumes (Next 600 Mcf)</t>
  </si>
  <si>
    <t>Additional Volumes (Over 1,000 Mcf)</t>
  </si>
  <si>
    <t>GSO/GTO/GDS</t>
  </si>
  <si>
    <t>Gas Cost Adjustment Rate:</t>
  </si>
  <si>
    <t xml:space="preserve">Gas Cost Adjustment Firm Commodity Rate: </t>
  </si>
  <si>
    <t xml:space="preserve">Gas Cost Adjustment Firm Demand Rate: </t>
  </si>
  <si>
    <t>Gas Cost Adjustment Date:</t>
  </si>
  <si>
    <t>Uncoll</t>
  </si>
  <si>
    <t>Acct. 487 Forfeited Discounts</t>
  </si>
  <si>
    <t xml:space="preserve">Acct. 487 Forfeited Discounts </t>
  </si>
  <si>
    <t>Change in Forfeited Discounts Revenue</t>
  </si>
  <si>
    <t>Detail</t>
  </si>
  <si>
    <t>Amount</t>
  </si>
  <si>
    <t>Test Year Revenue Subject to Late Payment Penalties:</t>
  </si>
  <si>
    <t>Proposed Revenue Subject to Late Payment Penalties:</t>
  </si>
  <si>
    <t>Reference</t>
  </si>
  <si>
    <t>Test Year Forfeited Discounts  (Account 487)</t>
  </si>
  <si>
    <t>Proposed  Forfeited Discounts  (Account 487)</t>
  </si>
  <si>
    <t>Proposed Adjustment to Account 487 Revenue</t>
  </si>
  <si>
    <t>Line 2 / Line 25</t>
  </si>
  <si>
    <t>DS/SAS</t>
  </si>
  <si>
    <t>EECP</t>
  </si>
  <si>
    <t>AMRP</t>
  </si>
  <si>
    <t>Current Annualized</t>
  </si>
  <si>
    <t>Number of Bills</t>
  </si>
  <si>
    <t>Riders:</t>
  </si>
  <si>
    <t>Volumes (Mcf)</t>
  </si>
  <si>
    <t>Adjustment to Test Year Bills and Mcf</t>
  </si>
  <si>
    <t>Adjustment to Bills and Mcf Generated By Industrial Customers</t>
  </si>
  <si>
    <t>Annualized Test Year Revenues at Proposed Rates</t>
  </si>
  <si>
    <t>Revenues At Present and Proposed Rates</t>
  </si>
  <si>
    <t>Customer Bills</t>
  </si>
  <si>
    <t>(P)</t>
  </si>
  <si>
    <t>Revenue Less Gas Cost</t>
  </si>
  <si>
    <t>Total Revenue</t>
  </si>
  <si>
    <t>Revenue Excluding Riders</t>
  </si>
  <si>
    <t>Commodity Charge</t>
  </si>
  <si>
    <t>Gas Cost Revenue [2]</t>
  </si>
  <si>
    <t>Volumes (Mcf) [1]</t>
  </si>
  <si>
    <t xml:space="preserve">  Customer Charge</t>
  </si>
  <si>
    <t xml:space="preserve">  Accelerated Main Replacement Program</t>
  </si>
  <si>
    <t xml:space="preserve">  Commodity Charge</t>
  </si>
  <si>
    <t xml:space="preserve">  Energy Efficiency Conservation Program</t>
  </si>
  <si>
    <t xml:space="preserve">  Gas Cost Uncollectible Charge</t>
  </si>
  <si>
    <t xml:space="preserve">  EAP Recovery</t>
  </si>
  <si>
    <t xml:space="preserve">  Total Riders</t>
  </si>
  <si>
    <t xml:space="preserve">  Administrative Charge</t>
  </si>
  <si>
    <t>Volumes (Mcf)[1]</t>
  </si>
  <si>
    <t xml:space="preserve">    Bills</t>
  </si>
  <si>
    <t xml:space="preserve">    Volumes</t>
  </si>
  <si>
    <t xml:space="preserve">    Revenue Less Gas Cost</t>
  </si>
  <si>
    <t xml:space="preserve">    Gas Cost</t>
  </si>
  <si>
    <r>
      <t xml:space="preserve">Type of Filing: </t>
    </r>
    <r>
      <rPr>
        <b/>
        <u/>
        <sz val="12"/>
        <rFont val="Arial"/>
        <family val="2"/>
      </rPr>
      <t>X</t>
    </r>
    <r>
      <rPr>
        <b/>
        <sz val="12"/>
        <rFont val="Arial"/>
        <family val="2"/>
      </rPr>
      <t xml:space="preserve"> Original _ Update _ Revised</t>
    </r>
  </si>
  <si>
    <t>FERC</t>
  </si>
  <si>
    <t>Acct</t>
  </si>
  <si>
    <t>Operating Revenue</t>
  </si>
  <si>
    <t>Sales of Gas</t>
  </si>
  <si>
    <t>Total Operating Revenue</t>
  </si>
  <si>
    <t xml:space="preserve">    Residential Sales Revenue</t>
  </si>
  <si>
    <t xml:space="preserve">    Commercial Sales Revenue</t>
  </si>
  <si>
    <t xml:space="preserve">    Industrial Sales Revenue</t>
  </si>
  <si>
    <t xml:space="preserve">    Total Sales of Gas</t>
  </si>
  <si>
    <t xml:space="preserve">    Public Utilities</t>
  </si>
  <si>
    <t xml:space="preserve">    Transportation Revenue - Residential</t>
  </si>
  <si>
    <t xml:space="preserve">    Transportation Revenue - Commercial</t>
  </si>
  <si>
    <t xml:space="preserve">    Transportation Revenue - Industrial</t>
  </si>
  <si>
    <t xml:space="preserve">    Forfeited Discounts</t>
  </si>
  <si>
    <t xml:space="preserve">    Miscellaneous Service Revenue</t>
  </si>
  <si>
    <t xml:space="preserve">    Non-Traditional Sales</t>
  </si>
  <si>
    <t xml:space="preserve">    Other Gas Revenues - Other</t>
  </si>
  <si>
    <t>Rate Schedule GSR - Residential</t>
  </si>
  <si>
    <t>Rate Schedule G1C - Commercial</t>
  </si>
  <si>
    <t>Rate Schedule G1R - Residential</t>
  </si>
  <si>
    <t xml:space="preserve">  Industrial Adjustment</t>
  </si>
  <si>
    <t>Rate Schedule IN3 - Residential</t>
  </si>
  <si>
    <t>Rate Schedule IN4 - Residential</t>
  </si>
  <si>
    <t>Rate Schedule IN5 - Residential</t>
  </si>
  <si>
    <t>Rate Schedule LG2 - Residential</t>
  </si>
  <si>
    <t>Rate Schedule LG2 - Commercial</t>
  </si>
  <si>
    <t>Rate Schedule LG3 - Residential</t>
  </si>
  <si>
    <t xml:space="preserve">    First 2 Mcf</t>
  </si>
  <si>
    <t xml:space="preserve">    Over 2 Mcf</t>
  </si>
  <si>
    <t>Rate Schedule LG4 - Residential</t>
  </si>
  <si>
    <t>Rate Schedule GSO - Commercial</t>
  </si>
  <si>
    <t xml:space="preserve">    First 50 Mcf</t>
  </si>
  <si>
    <t xml:space="preserve">    Next 350 Mcf</t>
  </si>
  <si>
    <t xml:space="preserve">    Next 600 Mcf</t>
  </si>
  <si>
    <t xml:space="preserve">    Over 1,000 Mcf</t>
  </si>
  <si>
    <t xml:space="preserve">  Adjusted Bills</t>
  </si>
  <si>
    <t>Rate Schedule DS - Commercial</t>
  </si>
  <si>
    <t>Rate Schedule GDS - Industrial</t>
  </si>
  <si>
    <t>Rate Schedule DS - Industrial</t>
  </si>
  <si>
    <t xml:space="preserve">  Adjusted Volumes</t>
  </si>
  <si>
    <t>Rate Schedule GSO - Industrial</t>
  </si>
  <si>
    <t>Rate Schedule IUS - Wholesale</t>
  </si>
  <si>
    <t>Rate Schedule GTR - Residential</t>
  </si>
  <si>
    <t>Rate Schedule GTO - Commercial</t>
  </si>
  <si>
    <t>Rate Schedule GTO - Industrial</t>
  </si>
  <si>
    <t xml:space="preserve">    First 30,000 Mcf</t>
  </si>
  <si>
    <t>Rate Schedule GDS - Commercial</t>
  </si>
  <si>
    <t>Rate Schedule DS3 - Industrial</t>
  </si>
  <si>
    <t>Rate Schedule FX1 - Commercial</t>
  </si>
  <si>
    <t>Rate Schedule FX2 - Commercial</t>
  </si>
  <si>
    <t>Rate Schedule FX5 - Industrial</t>
  </si>
  <si>
    <t>Rate Schedule FX7 - Industrial</t>
  </si>
  <si>
    <t xml:space="preserve">    First 25,000 Mcf</t>
  </si>
  <si>
    <t xml:space="preserve">    Over 25,000 Mcf</t>
  </si>
  <si>
    <t>Rate Schedule SAS - Commercial</t>
  </si>
  <si>
    <t>Rate Schedule SC3 - Industrial</t>
  </si>
  <si>
    <t xml:space="preserve">    First 150,000 Mcf</t>
  </si>
  <si>
    <t xml:space="preserve">    Over 150,000 Mcf</t>
  </si>
  <si>
    <t xml:space="preserve">IS </t>
  </si>
  <si>
    <t>Rate Schedule IS - Industrial</t>
  </si>
  <si>
    <t>Other Operating Revenue</t>
  </si>
  <si>
    <t xml:space="preserve">    Total Other Operating Revenue</t>
  </si>
  <si>
    <t>Total Adjusted Bills</t>
  </si>
  <si>
    <t>Total Adjusted Volumes</t>
  </si>
  <si>
    <t xml:space="preserve">  Bills</t>
  </si>
  <si>
    <t xml:space="preserve">  Finaled Bills</t>
  </si>
  <si>
    <t>IS</t>
  </si>
  <si>
    <t>Interruptible Service - Industrial</t>
  </si>
  <si>
    <t xml:space="preserve">Bills </t>
  </si>
  <si>
    <t>Proposed Annualized</t>
  </si>
  <si>
    <t>GST</t>
  </si>
  <si>
    <t>General Service - Trans Fallback - Comm</t>
  </si>
  <si>
    <t>General Service - Trans Fallback - Ind</t>
  </si>
  <si>
    <t>IST</t>
  </si>
  <si>
    <t>Interruptible Service  - Fallback - Commercial</t>
  </si>
  <si>
    <t>Interruptible Service  - Fallback - Industrial</t>
  </si>
  <si>
    <t>DO NOT FILE</t>
  </si>
  <si>
    <t>Total Company Bills</t>
  </si>
  <si>
    <t>12 Months Forecasted</t>
  </si>
  <si>
    <t>M-2.3</t>
  </si>
  <si>
    <t>Residential Sales</t>
  </si>
  <si>
    <t>Commercial Sales</t>
  </si>
  <si>
    <t>Industrial Sales</t>
  </si>
  <si>
    <t>Public Utilities</t>
  </si>
  <si>
    <t>Total Sales</t>
  </si>
  <si>
    <t>Transportation</t>
  </si>
  <si>
    <t>Other Revenue</t>
  </si>
  <si>
    <t>Total Operating Revenues</t>
  </si>
  <si>
    <t>Total Revenue (Excluding Gas Cost)</t>
  </si>
  <si>
    <t>Total Volumes</t>
  </si>
  <si>
    <t>Acct. 493 Rent from Gas Property</t>
  </si>
  <si>
    <t xml:space="preserve">    Rent from Gas Property</t>
  </si>
  <si>
    <t>Schedule M 2.1</t>
  </si>
  <si>
    <t>Total Gas Revenue</t>
  </si>
  <si>
    <t>Acct. 493 Rent From Gas Property</t>
  </si>
  <si>
    <t>PRESENT AND PROPOSED REVENUE AT FORECASTED PERIOD</t>
  </si>
  <si>
    <t>M-2.1</t>
  </si>
  <si>
    <t>BASE AND FORECASTED PERIOD AT PRESENT RATES</t>
  </si>
  <si>
    <t>M</t>
  </si>
  <si>
    <t>SCHEDULE</t>
  </si>
  <si>
    <t>FORECASTED PERIOD:</t>
  </si>
  <si>
    <t>BASE PERIOD :</t>
  </si>
  <si>
    <t>COLUMBIA GAS OF KENTUCKY, INC.</t>
  </si>
  <si>
    <t>REVENUE SUMMARY FOR BASE PERIOD AND FORECASTED PERIOD</t>
  </si>
  <si>
    <t>SCHEDULE  M</t>
  </si>
  <si>
    <t>X:\ERATE\CKY\RATECASE\1994\SCHC\INDEX.WK1</t>
  </si>
  <si>
    <r>
      <t xml:space="preserve">Data: __ Base Period </t>
    </r>
    <r>
      <rPr>
        <b/>
        <u/>
        <sz val="12"/>
        <rFont val="Arial"/>
        <family val="2"/>
      </rPr>
      <t>_X_</t>
    </r>
    <r>
      <rPr>
        <b/>
        <sz val="12"/>
        <rFont val="Arial"/>
        <family val="2"/>
      </rPr>
      <t>Forecasted Period</t>
    </r>
  </si>
  <si>
    <t>Page 3 of 3</t>
  </si>
  <si>
    <t>Page 2 of 3</t>
  </si>
  <si>
    <t>Workpaper WPM-A.2</t>
  </si>
  <si>
    <t>Workpaper WPM-B.2</t>
  </si>
  <si>
    <t>Workpaper WPM-C.2</t>
  </si>
  <si>
    <t>Ratio of Late Payment Penalties to Total Revenue</t>
  </si>
  <si>
    <t>Tariff now includes late payment charge on ALL bills</t>
  </si>
  <si>
    <t>Exclude IN's and LG's</t>
  </si>
  <si>
    <t>Difference</t>
  </si>
  <si>
    <t>Amrp</t>
  </si>
  <si>
    <t>CC</t>
  </si>
  <si>
    <r>
      <t>Data:</t>
    </r>
    <r>
      <rPr>
        <b/>
        <u/>
        <sz val="12"/>
        <rFont val="Arial"/>
        <family val="2"/>
      </rPr>
      <t xml:space="preserve"> __</t>
    </r>
    <r>
      <rPr>
        <b/>
        <sz val="12"/>
        <rFont val="Arial"/>
        <family val="2"/>
      </rPr>
      <t xml:space="preserve"> Base Period_</t>
    </r>
    <r>
      <rPr>
        <b/>
        <u/>
        <sz val="12"/>
        <rFont val="Arial"/>
        <family val="2"/>
      </rPr>
      <t>X</t>
    </r>
    <r>
      <rPr>
        <b/>
        <sz val="12"/>
        <rFont val="Arial"/>
        <family val="2"/>
      </rPr>
      <t>_Forecasted Period</t>
    </r>
  </si>
  <si>
    <t>Tariff</t>
  </si>
  <si>
    <t>Gas Cost</t>
  </si>
  <si>
    <t>Trans</t>
  </si>
  <si>
    <t>Tar</t>
  </si>
  <si>
    <t>bf Gas</t>
  </si>
  <si>
    <t>Res</t>
  </si>
  <si>
    <t>Com</t>
  </si>
  <si>
    <t>Ind</t>
  </si>
  <si>
    <t>Cho Com</t>
  </si>
  <si>
    <t>Co Ind</t>
  </si>
  <si>
    <t xml:space="preserve">WS </t>
  </si>
  <si>
    <t>EG</t>
  </si>
  <si>
    <t>RPS</t>
  </si>
  <si>
    <t>Pricing</t>
  </si>
  <si>
    <t>Gas Cost Rate [1]</t>
  </si>
  <si>
    <t>Determination of Test Year Gas Cost Revenue</t>
  </si>
  <si>
    <t>Sheet 1 of 1</t>
  </si>
  <si>
    <t xml:space="preserve">  Volumes</t>
  </si>
  <si>
    <t xml:space="preserve">    Adjusted Volumes</t>
  </si>
  <si>
    <t>Workpaper WPM-D.2</t>
  </si>
  <si>
    <t>(WPM-D)</t>
  </si>
  <si>
    <t>Sheet 1 of 8</t>
  </si>
  <si>
    <t>Sheet 2 of 8</t>
  </si>
  <si>
    <t>Sheet 3 of 8</t>
  </si>
  <si>
    <t>Sheet 4 of 8</t>
  </si>
  <si>
    <t>Sheet 5 of 8</t>
  </si>
  <si>
    <t>Sheet 7 of 8</t>
  </si>
  <si>
    <t>Sheet 8 of 8</t>
  </si>
  <si>
    <t>Large Com/Ind Customers</t>
  </si>
  <si>
    <t>Large Com/Ind Volumes</t>
  </si>
  <si>
    <t>without LCR Adjustment</t>
  </si>
  <si>
    <t>with LCR Adjustment</t>
  </si>
  <si>
    <t>in FP 2+10</t>
  </si>
  <si>
    <t>Tran</t>
  </si>
  <si>
    <t>Residential Tariff</t>
  </si>
  <si>
    <t>Vol Rec</t>
  </si>
  <si>
    <t>EECP Rider</t>
  </si>
  <si>
    <t>Uncoll Rider</t>
  </si>
  <si>
    <t>EAP Rider</t>
  </si>
  <si>
    <t>Commercial Tariff</t>
  </si>
  <si>
    <t>Uncoll. Rider</t>
  </si>
  <si>
    <t>Industrial Tariff</t>
  </si>
  <si>
    <t>Wholesale Tariff</t>
  </si>
  <si>
    <t>Total Tariff</t>
  </si>
  <si>
    <t>Commercial Transportation</t>
  </si>
  <si>
    <t>Residential Choice/ Trans</t>
  </si>
  <si>
    <t>Industrial Transportation</t>
  </si>
  <si>
    <t>Summary from pages 1 - 7</t>
  </si>
  <si>
    <t>Page 1 of 1</t>
  </si>
  <si>
    <t>D-2.4</t>
  </si>
  <si>
    <t>Adjustment</t>
  </si>
  <si>
    <t>(5)</t>
  </si>
  <si>
    <t>(6)</t>
  </si>
  <si>
    <t xml:space="preserve">Ratemaking </t>
  </si>
  <si>
    <t>(H=G-F)</t>
  </si>
  <si>
    <t>(I=H/D)</t>
  </si>
  <si>
    <t>Schedule M-2.2</t>
  </si>
  <si>
    <t>M-2.2B</t>
  </si>
  <si>
    <t>BILLING ANALYSIS FOR THE FORECASTED PERIOD AT PRESENT RATES</t>
  </si>
  <si>
    <t>BILLING ANALYSIS FOR THE FORECASTED PERIOD AT PROPOSED RATES</t>
  </si>
  <si>
    <t>Revenue by Customer Class</t>
  </si>
  <si>
    <t>Mcf by Customer Class</t>
  </si>
  <si>
    <t>BILLING ANALYSIS FOR THE BASE PERIOD AT CURRENT RATES</t>
  </si>
  <si>
    <t>March 1, 2016</t>
  </si>
  <si>
    <t>GCA - uncollectible</t>
  </si>
  <si>
    <t>For the 12 Months Ended December 31, 2017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</si>
  <si>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</si>
  <si>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</si>
  <si>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</si>
  <si>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</si>
  <si>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</si>
  <si>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</si>
  <si>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</si>
  <si>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</si>
  <si>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</si>
  <si>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</si>
  <si>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</si>
  <si>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</si>
  <si>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[1] Gas Cost Rate as of March 1, 2016, excluding Gas Cost Uncollectible Rider.</t>
  </si>
  <si>
    <t>Witness:  M. J. Bell</t>
  </si>
  <si>
    <t>Allocation of Proposed Annual Revenues by Rate Schedule Based on Revenue Requirement</t>
  </si>
  <si>
    <t>Witness: M. J. Bell</t>
  </si>
  <si>
    <t xml:space="preserve">Revenue </t>
  </si>
  <si>
    <t>By Rate Sched</t>
  </si>
  <si>
    <t>(5=3+4)</t>
  </si>
  <si>
    <t>(7)</t>
  </si>
  <si>
    <t>Total Revenues</t>
  </si>
  <si>
    <t>Total Base Revenues</t>
  </si>
  <si>
    <t>Check --&gt; s/b zero</t>
  </si>
  <si>
    <t xml:space="preserve"> </t>
  </si>
  <si>
    <t>Determination of Revenue Distribution</t>
  </si>
  <si>
    <t>Proposed Unitized Return</t>
  </si>
  <si>
    <t>Change in Unitized Return</t>
  </si>
  <si>
    <t>Rate of Return Requested</t>
  </si>
  <si>
    <t>Gross Converstion Factor</t>
  </si>
  <si>
    <t>Percent Distribution to Rate Classes</t>
  </si>
  <si>
    <t>Proposed Increase to Base Revenue</t>
  </si>
  <si>
    <t>Current Base Revenue</t>
  </si>
  <si>
    <t>Current Percent Distribution of Rate Classes</t>
  </si>
  <si>
    <t>Proposed Base Revenue</t>
  </si>
  <si>
    <t>Proposed Percent Distribution of Rate Classes</t>
  </si>
  <si>
    <t>Dth</t>
  </si>
  <si>
    <t>Total Revenue @ Current Rates</t>
  </si>
  <si>
    <t>Plus:</t>
  </si>
  <si>
    <t>Proposed Increase to Base Rates</t>
  </si>
  <si>
    <t>Total Base Revenue Change</t>
  </si>
  <si>
    <t>Net Base Revenue</t>
  </si>
  <si>
    <t>Witness: M. P. Balmert</t>
  </si>
  <si>
    <t>EECP Revenue</t>
  </si>
  <si>
    <t>WPM B.2</t>
  </si>
  <si>
    <t>WPM C.2</t>
  </si>
  <si>
    <t>Sch. M 2.2</t>
  </si>
  <si>
    <t>Sch. M 2.3</t>
  </si>
  <si>
    <t>Sheet 1 of 6</t>
  </si>
  <si>
    <t>Sheet 2 of 6</t>
  </si>
  <si>
    <t>Sheet 3 of 6</t>
  </si>
  <si>
    <t>Sheet 5 of 6</t>
  </si>
  <si>
    <t>Sheet 6 of 6</t>
  </si>
  <si>
    <t>Sheet 4 of 6</t>
  </si>
  <si>
    <t>Forecasted Period</t>
  </si>
  <si>
    <t>Check - Do Not File</t>
  </si>
  <si>
    <t>Per Above</t>
  </si>
  <si>
    <t>Per Rev. Summ.</t>
  </si>
  <si>
    <t>Diff</t>
  </si>
  <si>
    <t>Residential Tariff DIS</t>
  </si>
  <si>
    <t>Residential Choice DIS</t>
  </si>
  <si>
    <t xml:space="preserve">C&amp;I Tariff </t>
  </si>
  <si>
    <t>C&amp;I Choice</t>
  </si>
  <si>
    <t>Per</t>
  </si>
  <si>
    <t>Rev. Summ.</t>
  </si>
  <si>
    <t>Customers who have been added between January 1, 2017 and December 31, 2017</t>
  </si>
  <si>
    <t>19773521-001</t>
  </si>
  <si>
    <t>01/17</t>
  </si>
  <si>
    <t>New Customer</t>
  </si>
  <si>
    <t>GSO-ind</t>
  </si>
  <si>
    <t>Customers who have become inactive between January 1, 2017 and and December 31, 2017</t>
  </si>
  <si>
    <t>13228118-002</t>
  </si>
  <si>
    <t>SC3-Ind</t>
  </si>
  <si>
    <t>14401089-002</t>
  </si>
  <si>
    <t>GSO-Com</t>
  </si>
  <si>
    <t>10/15</t>
  </si>
  <si>
    <t>First 150,000 Mcf</t>
  </si>
  <si>
    <t>Over 150,000 Mcf</t>
  </si>
  <si>
    <t>14064515-001</t>
  </si>
  <si>
    <t>First 30,000 Mcf</t>
  </si>
  <si>
    <t>Over 30,000 Mcf</t>
  </si>
  <si>
    <t>Customers who have significant usage change between January 1, 2017 and December 31, 2017</t>
  </si>
  <si>
    <t>Sheet 2 of 2</t>
  </si>
  <si>
    <t>Sheet 1 of 2</t>
  </si>
  <si>
    <t xml:space="preserve">    Next 150,000 Mcf</t>
  </si>
  <si>
    <t>Annualized Test Year Revenues at Current Rates</t>
  </si>
  <si>
    <t>Annualized Test Year Revenues at  Current Rates</t>
  </si>
  <si>
    <t xml:space="preserve"> Annualized Test Year Revenues at  Current Rates</t>
  </si>
  <si>
    <t>Page 1 of 21</t>
  </si>
  <si>
    <t>Page 2 of 21</t>
  </si>
  <si>
    <t>Page 3 of 21</t>
  </si>
  <si>
    <t>Page 5 of 21</t>
  </si>
  <si>
    <t>Page 6 of 21</t>
  </si>
  <si>
    <t>Page 8 of 21</t>
  </si>
  <si>
    <t>Page 10 of 21</t>
  </si>
  <si>
    <t>Page 12 of 21</t>
  </si>
  <si>
    <t>Page 14 of 21</t>
  </si>
  <si>
    <t>Page 16 of 21</t>
  </si>
  <si>
    <t>Page 18 of 21</t>
  </si>
  <si>
    <t>Page 20 of 21</t>
  </si>
  <si>
    <t>Page 21 of 21</t>
  </si>
  <si>
    <t>Page 19 of 21</t>
  </si>
  <si>
    <t>Page 17 of 21</t>
  </si>
  <si>
    <t>Page 15 of 21</t>
  </si>
  <si>
    <t>Page 13 of 21</t>
  </si>
  <si>
    <t>Page 11 of 21</t>
  </si>
  <si>
    <t>Page 9 of 21</t>
  </si>
  <si>
    <t>Page 7 of 21</t>
  </si>
  <si>
    <t>Page 4 of 21</t>
  </si>
  <si>
    <t>IS/DS</t>
  </si>
  <si>
    <t>Gas Cost Revenue Only</t>
  </si>
  <si>
    <t>Total Gas Cost Revenues</t>
  </si>
  <si>
    <t>Total EAP Revenues</t>
  </si>
  <si>
    <t>Total Energy Efficiencty Conservation Revenues</t>
  </si>
  <si>
    <t>Energy Efficiency Conservation Program</t>
  </si>
  <si>
    <t xml:space="preserve">GSR/GTR </t>
  </si>
  <si>
    <t>Acct. 487 Forefited Discounts</t>
  </si>
  <si>
    <t>Acct. 495 Prior Yr. Rate Refund - Net.</t>
  </si>
  <si>
    <t>Administrative Charge</t>
  </si>
  <si>
    <r>
      <t>Data:</t>
    </r>
    <r>
      <rPr>
        <b/>
        <u/>
        <sz val="8"/>
        <rFont val="Arial"/>
        <family val="2"/>
      </rPr>
      <t xml:space="preserve"> __</t>
    </r>
    <r>
      <rPr>
        <b/>
        <sz val="8"/>
        <rFont val="Arial"/>
        <family val="2"/>
      </rPr>
      <t xml:space="preserve"> Base Period _</t>
    </r>
    <r>
      <rPr>
        <b/>
        <u/>
        <sz val="8"/>
        <rFont val="Arial"/>
        <family val="2"/>
      </rPr>
      <t>X</t>
    </r>
    <r>
      <rPr>
        <b/>
        <sz val="8"/>
        <rFont val="Arial"/>
        <family val="2"/>
      </rPr>
      <t>_ Forecasted Period</t>
    </r>
  </si>
  <si>
    <r>
      <t xml:space="preserve">Type of Filing: </t>
    </r>
    <r>
      <rPr>
        <b/>
        <u/>
        <sz val="8"/>
        <rFont val="Arial"/>
        <family val="2"/>
      </rPr>
      <t>X</t>
    </r>
    <r>
      <rPr>
        <b/>
        <sz val="8"/>
        <rFont val="Arial"/>
        <family val="2"/>
      </rPr>
      <t xml:space="preserve"> Original _ Update _ Revised</t>
    </r>
  </si>
  <si>
    <r>
      <t>Data:</t>
    </r>
    <r>
      <rPr>
        <b/>
        <u/>
        <sz val="8"/>
        <rFont val="Arial"/>
        <family val="2"/>
      </rPr>
      <t xml:space="preserve"> __</t>
    </r>
    <r>
      <rPr>
        <b/>
        <sz val="8"/>
        <rFont val="Arial"/>
        <family val="2"/>
      </rPr>
      <t xml:space="preserve"> Base Period_</t>
    </r>
    <r>
      <rPr>
        <b/>
        <u/>
        <sz val="8"/>
        <rFont val="Arial"/>
        <family val="2"/>
      </rPr>
      <t>X</t>
    </r>
    <r>
      <rPr>
        <b/>
        <sz val="8"/>
        <rFont val="Arial"/>
        <family val="2"/>
      </rPr>
      <t>_Forecasted Period</t>
    </r>
  </si>
  <si>
    <t>Gas Cost Uncollectible Charge</t>
  </si>
  <si>
    <t>Total Gas Cost Uncollectible Charge</t>
  </si>
  <si>
    <t>DS-ML</t>
  </si>
  <si>
    <t>Increase by</t>
  </si>
  <si>
    <t>Rate Class</t>
  </si>
  <si>
    <t>IN3 Residential</t>
  </si>
  <si>
    <t>G1R Base Revenue</t>
  </si>
  <si>
    <t>IN3 Base Revenue</t>
  </si>
  <si>
    <t>IN4 Base Revenue</t>
  </si>
  <si>
    <t>IN5 Base Revenue</t>
  </si>
  <si>
    <t>LG2 - Residential Base Revenue</t>
  </si>
  <si>
    <t>LG3 - Residential Base Revenue</t>
  </si>
  <si>
    <t>LG4 - Residential Base Revenue</t>
  </si>
  <si>
    <t xml:space="preserve">Customer Charge Revenue </t>
  </si>
  <si>
    <t>GSO/GTO/GDS Rate Design</t>
  </si>
  <si>
    <t>G1C Base Revenue</t>
  </si>
  <si>
    <t>LG2 Commercial Base Revenue</t>
  </si>
  <si>
    <t>Total Commodity</t>
  </si>
  <si>
    <t>First 50 Mcf</t>
  </si>
  <si>
    <t>Next 350 Mcf</t>
  </si>
  <si>
    <t>Next 600 Mcf</t>
  </si>
  <si>
    <t>Over 1,000 Mcf</t>
  </si>
  <si>
    <t>Pct. Of</t>
  </si>
  <si>
    <t>IS/DS Rate Design</t>
  </si>
  <si>
    <t>DS-ML Rate Design</t>
  </si>
  <si>
    <t>FX1 Base Revenue</t>
  </si>
  <si>
    <t>FX2 Base Revenue</t>
  </si>
  <si>
    <t>SC3 Base Revenue</t>
  </si>
  <si>
    <t>FX5 Base Revenue</t>
  </si>
  <si>
    <t>FX7 Base Revenue</t>
  </si>
  <si>
    <t>IUS Rate Design</t>
  </si>
  <si>
    <r>
      <t xml:space="preserve">Data: __ Base Period </t>
    </r>
    <r>
      <rPr>
        <b/>
        <u/>
        <sz val="8"/>
        <rFont val="Arial"/>
        <family val="2"/>
      </rPr>
      <t>_X_</t>
    </r>
    <r>
      <rPr>
        <b/>
        <sz val="8"/>
        <rFont val="Arial"/>
        <family val="2"/>
      </rPr>
      <t>Forecasted Period</t>
    </r>
  </si>
  <si>
    <t>Attachment MPB-1, Page 1</t>
  </si>
  <si>
    <t>Line 26 x Line 39</t>
  </si>
  <si>
    <t>Line 40 - Line 2</t>
  </si>
  <si>
    <t>Attachment MPB-2</t>
  </si>
  <si>
    <t>Schedule of Additional Revenues by Rate Schedule Based on Revenue Requirement - Late Payment Charge</t>
  </si>
  <si>
    <t xml:space="preserve">    Volumes [1]</t>
  </si>
  <si>
    <t xml:space="preserve">    Total Revenue [2]</t>
  </si>
  <si>
    <t xml:space="preserve">  Commodity Charge $/Mcf</t>
  </si>
  <si>
    <t>Gas Cost Revenue $/Mcf [2]</t>
  </si>
  <si>
    <t xml:space="preserve">  Gas Cost Uncollectible Charge $/Mcf</t>
  </si>
  <si>
    <t xml:space="preserve">  EAP Recovery $/Mcf</t>
  </si>
  <si>
    <t>[2] See Schedule M-2.2 Pages 8 through 21 for detail.</t>
  </si>
  <si>
    <t>Case No. 2016-00162</t>
  </si>
  <si>
    <t>Proposed Change Other Gas Department Revenue (Attachment MPB-2)</t>
  </si>
  <si>
    <t>Unitized Return @ Current Rates</t>
  </si>
  <si>
    <t>Net Operating Income @ Current Rates</t>
  </si>
  <si>
    <t>Revenue Required Increase</t>
  </si>
  <si>
    <t>Gas Cost Uncollectible Charge @ Current Rates</t>
  </si>
  <si>
    <t xml:space="preserve">Less: </t>
  </si>
  <si>
    <t>Gas Cost Uncollectible Charge @ Proposed Rates</t>
  </si>
  <si>
    <t>Exhibit No.: _____</t>
  </si>
  <si>
    <t>Non-Gas Base Rates</t>
  </si>
  <si>
    <t>Customer Charge</t>
  </si>
  <si>
    <t>March 2016</t>
  </si>
  <si>
    <t>Component</t>
  </si>
  <si>
    <t>Sales</t>
  </si>
  <si>
    <t>Prior Approved Rates</t>
  </si>
  <si>
    <t>Monthly Customer Charge</t>
  </si>
  <si>
    <t>Total Bill</t>
  </si>
  <si>
    <t>Percent Increase - Total</t>
  </si>
  <si>
    <t>Percent Increase - Delivery Charges only</t>
  </si>
  <si>
    <t>Attachment MPB-3</t>
  </si>
  <si>
    <t>General Service - Residential (GSR &amp; GRT)</t>
  </si>
  <si>
    <t>General Service - Other (GSO/GTR/GDS)</t>
  </si>
  <si>
    <t>Interruptible / Delivery Service (IS/DS)</t>
  </si>
  <si>
    <t>Intrastate Utility Sales Service (IUS)</t>
  </si>
  <si>
    <t>Delivery Service - Mainline (DS-ML)</t>
  </si>
  <si>
    <t>Page 1 of  1</t>
  </si>
  <si>
    <t>Calculation of Average GSR/GTR Bill</t>
  </si>
  <si>
    <t>Accelerated Mains Replacement Program (AMRP)</t>
  </si>
  <si>
    <t>Research &amp; Development</t>
  </si>
  <si>
    <t>Energy Efficiency Conservation Program (EECP)</t>
  </si>
  <si>
    <t>Energy Assistance Plan (EAP)</t>
  </si>
  <si>
    <t>Gas Cost Adjustment (GCA)</t>
  </si>
  <si>
    <t>1/ Prior Approved Rates as of 3-1-2016.  Commodity cost imputed for GRT for illustrative purposes.</t>
  </si>
  <si>
    <t>GSO/GTO</t>
  </si>
  <si>
    <t>Attachment MPB-4</t>
  </si>
  <si>
    <t>Per Mcf</t>
  </si>
  <si>
    <t>1/ Prior Approved Rates as of 3-1-2016.  Commodity cost imputed for GTO for illustrative purposes.</t>
  </si>
  <si>
    <t>Calculation of Average DS Bill</t>
  </si>
  <si>
    <t>1/ Prior Approved Rates as of 3-1-2016.  Commodity cost imputed for DS for illustrative purposes.</t>
  </si>
  <si>
    <t>Calculation of Average DS-ML Bill</t>
  </si>
  <si>
    <t>1/ Prior Approved Rates as of 3-1-2016.  Commodity cost imputed for DS-ML for illustrative purposes.</t>
  </si>
  <si>
    <t>Rate Base (Attachment CEN-3 Page 4, Line 12)</t>
  </si>
  <si>
    <t>OGDR Increase</t>
  </si>
  <si>
    <t xml:space="preserve">Administrative Charge Revenue </t>
  </si>
  <si>
    <t>COS Rev Req --&gt; s/b zero</t>
  </si>
  <si>
    <t>Calculation of Average GSO/GTO Bill</t>
  </si>
  <si>
    <t>Page 3 of 5</t>
  </si>
  <si>
    <t>Calculation of Average GDS Bill</t>
  </si>
  <si>
    <t>Page 1 of 5</t>
  </si>
  <si>
    <t>Page 2 of 5</t>
  </si>
  <si>
    <t>Page 4 of 5</t>
  </si>
  <si>
    <t>Page 5 of 5</t>
  </si>
  <si>
    <t>Sheet 6 of 8</t>
  </si>
  <si>
    <t>Delivery Charge Revenue Only (Base Rates, Admin. Charge &amp; AMRP Charge)</t>
  </si>
  <si>
    <t>Accelerated Mains Replacement Program</t>
  </si>
  <si>
    <t>Page 1 of 8</t>
  </si>
  <si>
    <t>Page 2 of 8</t>
  </si>
  <si>
    <t>Page 3 of 8</t>
  </si>
  <si>
    <t>Page 4 of 8</t>
  </si>
  <si>
    <t>Page 5 of 8</t>
  </si>
  <si>
    <t>Page 6 of 8</t>
  </si>
  <si>
    <t>Page 7 of 8</t>
  </si>
  <si>
    <t>Page 8 of 8</t>
  </si>
  <si>
    <t>FOR THE TWELVE MONTHS ENDED AUGUST 31, 2016</t>
  </si>
  <si>
    <t>FOR THE TWELVE MONTHS ENDED DECEMBER 31, 2017</t>
  </si>
  <si>
    <t>CASE NO. 2016-00162</t>
  </si>
  <si>
    <t>Sch. M2.2 &amp; D2.4</t>
  </si>
  <si>
    <t>Adjustment to reflect Minimum Bill</t>
  </si>
  <si>
    <t>Adjustment to Reflect Minimum Bill</t>
  </si>
  <si>
    <t>Adjustment to Minimum Bill</t>
  </si>
  <si>
    <t>Adjustment ot Minimum Bill</t>
  </si>
  <si>
    <t>Settlement Increase to Base Revenue</t>
  </si>
  <si>
    <t>Settlement Increase</t>
  </si>
  <si>
    <t>Attachment MPB-1</t>
  </si>
  <si>
    <t>Next 70,000 Mcf</t>
  </si>
  <si>
    <t>Over 100,000 Mcf</t>
  </si>
  <si>
    <t xml:space="preserve">    Next 70,000 Mcf</t>
  </si>
  <si>
    <t xml:space="preserve">    Over 100,000 Mcf</t>
  </si>
  <si>
    <t>PSC Case No. 2016-00162</t>
  </si>
  <si>
    <t>Page 1 of 6</t>
  </si>
  <si>
    <t>Revenue Proof</t>
  </si>
  <si>
    <t>Class</t>
  </si>
  <si>
    <t>Number</t>
  </si>
  <si>
    <t xml:space="preserve">Present </t>
  </si>
  <si>
    <t xml:space="preserve">Proposed </t>
  </si>
  <si>
    <t>of Bills</t>
  </si>
  <si>
    <t>($/Mcf)</t>
  </si>
  <si>
    <t xml:space="preserve">Sales Service </t>
  </si>
  <si>
    <t>Customer Charge:</t>
  </si>
  <si>
    <t xml:space="preserve">   All Gas Consumed</t>
  </si>
  <si>
    <t>Gas Cost Uncollectible Accounts in GCA</t>
  </si>
  <si>
    <t>Gas Cost Recovery (Per filed Schedule M)</t>
  </si>
  <si>
    <t>Page 2 of 6</t>
  </si>
  <si>
    <t xml:space="preserve">   First 2 Mcf</t>
  </si>
  <si>
    <t xml:space="preserve">   Over 2 Mcf</t>
  </si>
  <si>
    <t xml:space="preserve">  First 50 Mcf</t>
  </si>
  <si>
    <t xml:space="preserve">  Next 350 Mcf</t>
  </si>
  <si>
    <t xml:space="preserve">  Next 600 Mcf</t>
  </si>
  <si>
    <t xml:space="preserve">  Over 1,000 Mcf</t>
  </si>
  <si>
    <t>Page 3 of 6</t>
  </si>
  <si>
    <t xml:space="preserve">  First 30,000 Mcf</t>
  </si>
  <si>
    <t xml:space="preserve">  Next 70,000 Mcf</t>
  </si>
  <si>
    <t xml:space="preserve">  Over 100,000 Mcf</t>
  </si>
  <si>
    <t>Page 4 of 6</t>
  </si>
  <si>
    <t>Administrative Charge:</t>
  </si>
  <si>
    <t xml:space="preserve">   First 30,000 Mcf</t>
  </si>
  <si>
    <t xml:space="preserve">   Over 100,000 Mcf</t>
  </si>
  <si>
    <t>GTS Delivery Service -  Industrial</t>
  </si>
  <si>
    <t>Page 5 of 6</t>
  </si>
  <si>
    <t xml:space="preserve">   Over 30,000 Mcf</t>
  </si>
  <si>
    <t>Page 6 of 6</t>
  </si>
  <si>
    <t xml:space="preserve">   First 150,000 Mcf</t>
  </si>
  <si>
    <t xml:space="preserve">   Over 150,000 Mcf</t>
  </si>
  <si>
    <t>Minimum Bill</t>
  </si>
  <si>
    <t>Other Gas Department Revenues</t>
  </si>
  <si>
    <t>Summary</t>
  </si>
  <si>
    <t>Base Revenue</t>
  </si>
  <si>
    <t>TOTAL REVENUE</t>
  </si>
  <si>
    <t>Summary by Rate Class</t>
  </si>
  <si>
    <t>General Service - Other</t>
  </si>
  <si>
    <t>Intrastate Utility Service</t>
  </si>
  <si>
    <t>Mainline Delivery Service / Special Contract</t>
  </si>
  <si>
    <t>Delivery Service / Interruptible Service</t>
  </si>
  <si>
    <t>Average Monthly Customer Bill Increase</t>
  </si>
  <si>
    <t>General Service - Residential @ 5.5 Mcf</t>
  </si>
  <si>
    <t>General Service - Commercial @ 32.4 Mcf</t>
  </si>
  <si>
    <t xml:space="preserve">   Next 70,000 Mcf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</si>
</sst>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#,##0.0_);\(#,##0.0\)"/>
    <numFmt numFmtId="166" formatCode="#,##0.000_);\(#,##0.000\)"/>
    <numFmt numFmtId="167" formatCode="#,##0.0000_);\(#,##0.0000\)"/>
    <numFmt numFmtId="168" formatCode="0.0000_);\(0.0000\)"/>
    <numFmt numFmtId="169" formatCode="#,##0.0"/>
    <numFmt numFmtId="170" formatCode="&quot;$&quot;#,##0"/>
    <numFmt numFmtId="171" formatCode="0.0"/>
    <numFmt numFmtId="172" formatCode="0.0000"/>
    <numFmt numFmtId="173" formatCode="#,##0.0000"/>
    <numFmt numFmtId="174" formatCode="#,##0.000000000_);\(#,##0.000000000\)"/>
    <numFmt numFmtId="175" formatCode="0.000000000"/>
    <numFmt numFmtId="176" formatCode="[$-409]mmm\-yy;@"/>
    <numFmt numFmtId="177" formatCode="_(* #,##0.0_);_(* \(#,##0.0\);_(* &quot;-&quot;??_);_(@_)"/>
    <numFmt numFmtId="178" formatCode="_(* #,##0_);_(* \(#,##0\);_(* &quot;-&quot;??_);_(@_)"/>
    <numFmt numFmtId="179" formatCode="_(&quot;$&quot;* #,##0_);_(&quot;$&quot;* \(#,##0\);_(&quot;$&quot;* &quot;-&quot;??_);_(@_)"/>
    <numFmt numFmtId="180" formatCode=";;;"/>
    <numFmt numFmtId="181" formatCode="&quot;$&quot;#,##0.0000_);\(&quot;$&quot;#,##0.0000\)"/>
    <numFmt numFmtId="182" formatCode="#,##0.000000_);\(#,##0.000000\)"/>
    <numFmt numFmtId="183" formatCode="#,##0.00000_);\(#,##0.00000\)"/>
    <numFmt numFmtId="184" formatCode="0.000%"/>
    <numFmt numFmtId="185" formatCode="_(* #,##0_);_(* \(#,##0\);_(* &quot;-&quot;?_);_(@_)"/>
    <numFmt numFmtId="186" formatCode="#,##0;[Red]#,##0"/>
    <numFmt numFmtId="187" formatCode="&quot;$&quot;#,##0.000_);\(&quot;$&quot;#,##0.000\)"/>
    <numFmt numFmtId="188" formatCode="_(* #,##0.00000_);_(* \(#,##0.00000\);_(* &quot;-&quot;??_);_(@_)"/>
    <numFmt numFmtId="189" formatCode="_(* #,##0.0000_);_(* \(#,##0.0000\);_(* &quot;-&quot;??_);_(@_)"/>
    <numFmt numFmtId="190" formatCode="&quot;$&quot;#,##0.0000"/>
    <numFmt numFmtId="191" formatCode="0.0%"/>
    <numFmt numFmtId="192" formatCode="&quot;$&quot;#,##0.00"/>
  </numFmts>
  <fonts count="70" x14ac:knownFonts="1">
    <font>
      <sz val="8"/>
      <name val="Tms Rmn"/>
    </font>
    <font>
      <sz val="10"/>
      <name val="Arial"/>
      <family val="2"/>
    </font>
    <font>
      <sz val="8"/>
      <name val="Tms Rmn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 val="singleAccounting"/>
      <sz val="12"/>
      <name val="Arial"/>
      <family val="2"/>
    </font>
    <font>
      <i/>
      <sz val="12"/>
      <name val="Arial"/>
      <family val="2"/>
    </font>
    <font>
      <sz val="12"/>
      <color indexed="39"/>
      <name val="Arial"/>
      <family val="2"/>
    </font>
    <font>
      <u/>
      <sz val="12"/>
      <color indexed="39"/>
      <name val="Arial"/>
      <family val="2"/>
    </font>
    <font>
      <b/>
      <sz val="12"/>
      <color indexed="39"/>
      <name val="Arial"/>
      <family val="2"/>
    </font>
    <font>
      <sz val="8"/>
      <name val="Helv"/>
    </font>
    <font>
      <sz val="12"/>
      <color rgb="FF0000FF"/>
      <name val="Arial"/>
      <family val="2"/>
    </font>
    <font>
      <u/>
      <sz val="12"/>
      <color rgb="FF0000FF"/>
      <name val="Arial"/>
      <family val="2"/>
    </font>
    <font>
      <b/>
      <sz val="12"/>
      <color rgb="FF0000FF"/>
      <name val="Arial"/>
      <family val="2"/>
    </font>
    <font>
      <u val="singleAccounting"/>
      <sz val="12"/>
      <color rgb="FF0000FF"/>
      <name val="Arial"/>
      <family val="2"/>
    </font>
    <font>
      <sz val="10"/>
      <color rgb="FF0000FF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rgb="FF0000FF"/>
      <name val="Arial"/>
      <family val="2"/>
    </font>
    <font>
      <sz val="8"/>
      <color indexed="8"/>
      <name val="Arial"/>
      <family val="2"/>
    </font>
    <font>
      <b/>
      <sz val="8"/>
      <color rgb="FF0000FF"/>
      <name val="Arial"/>
      <family val="2"/>
    </font>
    <font>
      <u/>
      <sz val="8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1"/>
      <color indexed="12"/>
      <name val="Arial"/>
      <family val="2"/>
    </font>
    <font>
      <sz val="11"/>
      <color indexed="12"/>
      <name val="Arial"/>
      <family val="2"/>
    </font>
    <font>
      <sz val="11"/>
      <color indexed="20"/>
      <name val="Arial"/>
      <family val="2"/>
    </font>
    <font>
      <b/>
      <u/>
      <sz val="11"/>
      <color indexed="39"/>
      <name val="Arial"/>
      <family val="2"/>
    </font>
    <font>
      <u/>
      <sz val="11"/>
      <color indexed="39"/>
      <name val="Arial"/>
      <family val="2"/>
    </font>
    <font>
      <sz val="11"/>
      <color indexed="3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u/>
      <sz val="8"/>
      <color indexed="20"/>
      <name val="Arial"/>
      <family val="2"/>
    </font>
    <font>
      <u/>
      <sz val="8"/>
      <color indexed="12"/>
      <name val="Arial"/>
      <family val="2"/>
    </font>
    <font>
      <u val="singleAccounting"/>
      <sz val="8"/>
      <name val="Arial"/>
      <family val="2"/>
    </font>
    <font>
      <u val="singleAccounting"/>
      <sz val="8"/>
      <color rgb="FFFF0000"/>
      <name val="Arial"/>
      <family val="2"/>
    </font>
    <font>
      <b/>
      <sz val="8"/>
      <color indexed="12"/>
      <name val="Arial"/>
      <family val="2"/>
    </font>
    <font>
      <u/>
      <sz val="8"/>
      <color indexed="39"/>
      <name val="Arial"/>
      <family val="2"/>
    </font>
    <font>
      <i/>
      <sz val="8"/>
      <name val="Arial"/>
      <family val="2"/>
    </font>
    <font>
      <b/>
      <sz val="10"/>
      <color rgb="FF0000FF"/>
      <name val="Arial"/>
      <family val="2"/>
    </font>
    <font>
      <u val="singleAccounting"/>
      <sz val="10"/>
      <name val="Arial"/>
      <family val="2"/>
    </font>
    <font>
      <b/>
      <sz val="8"/>
      <color rgb="FF3333FF"/>
      <name val="Arial"/>
      <family val="2"/>
    </font>
    <font>
      <u/>
      <sz val="8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rgb="FF0000FF"/>
      <name val="Times New Roman"/>
      <family val="1"/>
    </font>
    <font>
      <u/>
      <sz val="10"/>
      <name val="Times New Roman"/>
      <family val="1"/>
    </font>
    <font>
      <u/>
      <sz val="10"/>
      <color rgb="FF0000FF"/>
      <name val="Times New Roman"/>
      <family val="1"/>
    </font>
    <font>
      <sz val="10"/>
      <name val="Tms Rmn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1007">
    <xf numFmtId="0" fontId="0" fillId="0" borderId="0" xfId="0"/>
    <xf numFmtId="0" fontId="1" fillId="0" borderId="0" xfId="0" applyFont="1"/>
    <xf numFmtId="37" fontId="1" fillId="0" borderId="0" xfId="0" applyNumberFormat="1" applyFont="1"/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/>
    <xf numFmtId="0" fontId="1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167" fontId="3" fillId="0" borderId="1" xfId="0" applyNumberFormat="1" applyFont="1" applyFill="1" applyBorder="1"/>
    <xf numFmtId="4" fontId="3" fillId="0" borderId="1" xfId="0" applyNumberFormat="1" applyFont="1" applyFill="1" applyBorder="1"/>
    <xf numFmtId="167" fontId="1" fillId="0" borderId="0" xfId="0" applyNumberFormat="1" applyFont="1"/>
    <xf numFmtId="4" fontId="1" fillId="0" borderId="0" xfId="0" applyNumberFormat="1" applyFont="1"/>
    <xf numFmtId="37" fontId="1" fillId="0" borderId="0" xfId="0" applyNumberFormat="1" applyFont="1" applyProtection="1"/>
    <xf numFmtId="165" fontId="3" fillId="0" borderId="0" xfId="0" applyNumberFormat="1" applyFont="1"/>
    <xf numFmtId="167" fontId="3" fillId="0" borderId="0" xfId="0" applyNumberFormat="1" applyFont="1"/>
    <xf numFmtId="165" fontId="1" fillId="0" borderId="0" xfId="0" applyNumberFormat="1" applyFont="1"/>
    <xf numFmtId="0" fontId="6" fillId="0" borderId="0" xfId="0" applyFont="1"/>
    <xf numFmtId="0" fontId="1" fillId="2" borderId="0" xfId="0" applyFont="1" applyFill="1"/>
    <xf numFmtId="167" fontId="1" fillId="2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167" fontId="1" fillId="0" borderId="0" xfId="0" applyNumberFormat="1" applyFont="1" applyFill="1"/>
    <xf numFmtId="0" fontId="6" fillId="2" borderId="0" xfId="0" applyFont="1" applyFill="1" applyAlignment="1">
      <alignment horizontal="center"/>
    </xf>
    <xf numFmtId="167" fontId="3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/>
    <xf numFmtId="173" fontId="3" fillId="0" borderId="0" xfId="0" applyNumberFormat="1" applyFont="1" applyFill="1"/>
    <xf numFmtId="173" fontId="1" fillId="0" borderId="0" xfId="0" applyNumberFormat="1" applyFont="1"/>
    <xf numFmtId="167" fontId="5" fillId="0" borderId="0" xfId="0" applyNumberFormat="1" applyFont="1" applyFill="1"/>
    <xf numFmtId="4" fontId="1" fillId="0" borderId="0" xfId="0" applyNumberFormat="1" applyFont="1" applyFill="1"/>
    <xf numFmtId="173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3" fontId="6" fillId="0" borderId="0" xfId="0" applyNumberFormat="1" applyFont="1" applyFill="1" applyAlignment="1"/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 applyProtection="1">
      <protection locked="0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/>
    <xf numFmtId="37" fontId="10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39" fontId="9" fillId="0" borderId="0" xfId="0" applyNumberFormat="1" applyFont="1" applyAlignment="1">
      <alignment horizontal="center"/>
    </xf>
    <xf numFmtId="165" fontId="9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176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39" fontId="9" fillId="0" borderId="0" xfId="0" quotePrefix="1" applyNumberFormat="1" applyFont="1" applyAlignment="1">
      <alignment horizontal="center"/>
    </xf>
    <xf numFmtId="39" fontId="10" fillId="0" borderId="0" xfId="0" applyNumberFormat="1" applyFont="1" applyFill="1"/>
    <xf numFmtId="37" fontId="10" fillId="0" borderId="0" xfId="0" applyNumberFormat="1" applyFont="1" applyFill="1"/>
    <xf numFmtId="165" fontId="10" fillId="0" borderId="0" xfId="0" applyNumberFormat="1" applyFont="1" applyFill="1"/>
    <xf numFmtId="0" fontId="10" fillId="0" borderId="0" xfId="0" applyFont="1" applyFill="1"/>
    <xf numFmtId="37" fontId="13" fillId="0" borderId="0" xfId="0" applyNumberFormat="1" applyFont="1"/>
    <xf numFmtId="178" fontId="10" fillId="0" borderId="0" xfId="1" applyNumberFormat="1" applyFont="1"/>
    <xf numFmtId="177" fontId="10" fillId="0" borderId="0" xfId="1" applyNumberFormat="1" applyFont="1"/>
    <xf numFmtId="0" fontId="10" fillId="0" borderId="0" xfId="0" quotePrefix="1" applyFont="1" applyBorder="1" applyAlignment="1">
      <alignment horizontal="left"/>
    </xf>
    <xf numFmtId="178" fontId="10" fillId="0" borderId="0" xfId="0" applyNumberFormat="1" applyFont="1"/>
    <xf numFmtId="165" fontId="13" fillId="0" borderId="0" xfId="0" applyNumberFormat="1" applyFont="1" applyFill="1"/>
    <xf numFmtId="39" fontId="10" fillId="0" borderId="0" xfId="0" applyNumberFormat="1" applyFont="1" applyFill="1" applyBorder="1"/>
    <xf numFmtId="165" fontId="10" fillId="0" borderId="0" xfId="0" applyNumberFormat="1" applyFont="1" applyFill="1" applyBorder="1"/>
    <xf numFmtId="165" fontId="21" fillId="0" borderId="0" xfId="0" applyNumberFormat="1" applyFont="1" applyFill="1"/>
    <xf numFmtId="165" fontId="22" fillId="0" borderId="0" xfId="0" applyNumberFormat="1" applyFont="1" applyFill="1"/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65" fontId="10" fillId="0" borderId="0" xfId="0" applyNumberFormat="1" applyFont="1" applyFill="1" applyProtection="1"/>
    <xf numFmtId="37" fontId="10" fillId="0" borderId="0" xfId="0" applyNumberFormat="1" applyFont="1" applyProtection="1"/>
    <xf numFmtId="165" fontId="12" fillId="0" borderId="0" xfId="0" applyNumberFormat="1" applyFont="1" applyFill="1" applyProtection="1">
      <protection locked="0"/>
    </xf>
    <xf numFmtId="165" fontId="13" fillId="0" borderId="0" xfId="0" applyNumberFormat="1" applyFont="1" applyFill="1" applyProtection="1"/>
    <xf numFmtId="37" fontId="10" fillId="0" borderId="0" xfId="0" applyNumberFormat="1" applyFont="1" applyFill="1" applyProtection="1"/>
    <xf numFmtId="37" fontId="12" fillId="0" borderId="0" xfId="0" applyNumberFormat="1" applyFont="1" applyFill="1" applyProtection="1">
      <protection locked="0"/>
    </xf>
    <xf numFmtId="37" fontId="12" fillId="0" borderId="0" xfId="0" applyNumberFormat="1" applyFont="1" applyProtection="1">
      <protection locked="0"/>
    </xf>
    <xf numFmtId="165" fontId="10" fillId="0" borderId="0" xfId="0" applyNumberFormat="1" applyFont="1" applyFill="1" applyBorder="1" applyProtection="1"/>
    <xf numFmtId="165" fontId="10" fillId="0" borderId="0" xfId="0" applyNumberFormat="1" applyFont="1" applyFill="1" applyProtection="1">
      <protection locked="0"/>
    </xf>
    <xf numFmtId="0" fontId="10" fillId="0" borderId="0" xfId="0" applyFont="1" applyAlignment="1">
      <alignment horizontal="center"/>
    </xf>
    <xf numFmtId="164" fontId="9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right"/>
      <protection locked="0"/>
    </xf>
    <xf numFmtId="49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7" fontId="13" fillId="0" borderId="0" xfId="0" applyNumberFormat="1" applyFont="1" applyProtection="1"/>
    <xf numFmtId="0" fontId="10" fillId="0" borderId="0" xfId="0" applyFont="1" applyFill="1" applyBorder="1"/>
    <xf numFmtId="39" fontId="10" fillId="0" borderId="0" xfId="0" applyNumberFormat="1" applyFont="1" applyFill="1" applyProtection="1"/>
    <xf numFmtId="165" fontId="13" fillId="0" borderId="0" xfId="0" applyNumberFormat="1" applyFont="1" applyFill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9" fontId="23" fillId="0" borderId="0" xfId="0" applyNumberFormat="1" applyFont="1" applyBorder="1" applyAlignment="1">
      <alignment horizontal="left"/>
    </xf>
    <xf numFmtId="177" fontId="21" fillId="0" borderId="0" xfId="1" applyNumberFormat="1" applyFont="1" applyFill="1"/>
    <xf numFmtId="0" fontId="10" fillId="0" borderId="4" xfId="0" applyFont="1" applyBorder="1"/>
    <xf numFmtId="0" fontId="9" fillId="0" borderId="0" xfId="0" applyFont="1" applyFill="1" applyBorder="1"/>
    <xf numFmtId="177" fontId="10" fillId="0" borderId="0" xfId="1" applyNumberFormat="1" applyFont="1" applyFill="1" applyBorder="1"/>
    <xf numFmtId="177" fontId="10" fillId="0" borderId="0" xfId="1" applyNumberFormat="1" applyFont="1" applyBorder="1"/>
    <xf numFmtId="0" fontId="10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Fill="1" applyAlignment="1" applyProtection="1">
      <alignment horizontal="right"/>
      <protection locked="0"/>
    </xf>
    <xf numFmtId="37" fontId="13" fillId="0" borderId="0" xfId="0" applyNumberFormat="1" applyFont="1" applyFill="1" applyProtection="1"/>
    <xf numFmtId="0" fontId="10" fillId="0" borderId="0" xfId="0" applyFont="1" applyFill="1" applyProtection="1">
      <protection locked="0"/>
    </xf>
    <xf numFmtId="37" fontId="13" fillId="0" borderId="0" xfId="0" applyNumberFormat="1" applyFont="1" applyFill="1" applyProtection="1">
      <protection locked="0"/>
    </xf>
    <xf numFmtId="37" fontId="10" fillId="0" borderId="0" xfId="0" applyNumberFormat="1" applyFont="1" applyFill="1" applyProtection="1">
      <protection locked="0"/>
    </xf>
    <xf numFmtId="0" fontId="10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Fill="1"/>
    <xf numFmtId="37" fontId="18" fillId="0" borderId="0" xfId="0" applyNumberFormat="1" applyFont="1" applyProtection="1">
      <protection locked="0"/>
    </xf>
    <xf numFmtId="165" fontId="18" fillId="0" borderId="0" xfId="0" applyNumberFormat="1" applyFont="1" applyFill="1" applyProtection="1">
      <protection locked="0"/>
    </xf>
    <xf numFmtId="165" fontId="14" fillId="0" borderId="0" xfId="0" applyNumberFormat="1" applyFont="1" applyFill="1" applyProtection="1">
      <protection locked="0"/>
    </xf>
    <xf numFmtId="0" fontId="10" fillId="0" borderId="0" xfId="0" applyNumberFormat="1" applyFont="1" applyAlignment="1">
      <alignment horizontal="center"/>
    </xf>
    <xf numFmtId="165" fontId="13" fillId="0" borderId="0" xfId="0" applyNumberFormat="1" applyFont="1" applyFill="1" applyBorder="1" applyProtection="1"/>
    <xf numFmtId="0" fontId="9" fillId="0" borderId="0" xfId="0" applyFont="1" applyBorder="1" applyAlignment="1">
      <alignment horizontal="center"/>
    </xf>
    <xf numFmtId="0" fontId="9" fillId="0" borderId="5" xfId="0" applyFont="1" applyBorder="1"/>
    <xf numFmtId="165" fontId="10" fillId="0" borderId="5" xfId="0" applyNumberFormat="1" applyFont="1" applyFill="1" applyBorder="1" applyProtection="1"/>
    <xf numFmtId="165" fontId="10" fillId="0" borderId="3" xfId="0" applyNumberFormat="1" applyFont="1" applyBorder="1"/>
    <xf numFmtId="0" fontId="10" fillId="0" borderId="3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0" xfId="0" applyNumberFormat="1" applyFont="1" applyBorder="1"/>
    <xf numFmtId="0" fontId="9" fillId="0" borderId="0" xfId="0" quotePrefix="1" applyFont="1" applyBorder="1" applyAlignment="1">
      <alignment horizontal="center"/>
    </xf>
    <xf numFmtId="39" fontId="9" fillId="0" borderId="0" xfId="0" quotePrefix="1" applyNumberFormat="1" applyFont="1" applyBorder="1" applyAlignment="1">
      <alignment horizontal="center"/>
    </xf>
    <xf numFmtId="0" fontId="9" fillId="0" borderId="0" xfId="0" applyFont="1" applyFill="1" applyProtection="1">
      <protection locked="0"/>
    </xf>
    <xf numFmtId="165" fontId="13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165" fontId="13" fillId="0" borderId="0" xfId="0" quotePrefix="1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6" xfId="0" applyFont="1" applyBorder="1"/>
    <xf numFmtId="0" fontId="10" fillId="0" borderId="0" xfId="0" quotePrefix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quotePrefix="1" applyFont="1" applyFill="1" applyBorder="1" applyAlignment="1">
      <alignment horizontal="center"/>
    </xf>
    <xf numFmtId="165" fontId="10" fillId="0" borderId="1" xfId="0" applyNumberFormat="1" applyFont="1" applyFill="1" applyBorder="1"/>
    <xf numFmtId="165" fontId="10" fillId="0" borderId="9" xfId="0" applyNumberFormat="1" applyFont="1" applyFill="1" applyBorder="1"/>
    <xf numFmtId="0" fontId="10" fillId="0" borderId="5" xfId="0" applyFont="1" applyFill="1" applyBorder="1"/>
    <xf numFmtId="165" fontId="10" fillId="0" borderId="3" xfId="0" applyNumberFormat="1" applyFont="1" applyFill="1" applyBorder="1"/>
    <xf numFmtId="16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  <protection locked="0"/>
    </xf>
    <xf numFmtId="178" fontId="10" fillId="0" borderId="0" xfId="1" applyNumberFormat="1" applyFont="1" applyFill="1" applyBorder="1"/>
    <xf numFmtId="37" fontId="10" fillId="0" borderId="0" xfId="0" applyNumberFormat="1" applyFont="1" applyFill="1" applyBorder="1"/>
    <xf numFmtId="37" fontId="10" fillId="0" borderId="0" xfId="0" applyNumberFormat="1" applyFont="1" applyFill="1" applyBorder="1" applyProtection="1"/>
    <xf numFmtId="37" fontId="9" fillId="0" borderId="0" xfId="0" applyNumberFormat="1" applyFont="1" applyFill="1" applyBorder="1"/>
    <xf numFmtId="4" fontId="1" fillId="4" borderId="0" xfId="0" applyNumberFormat="1" applyFont="1" applyFill="1"/>
    <xf numFmtId="37" fontId="10" fillId="0" borderId="0" xfId="0" applyNumberFormat="1" applyFont="1" applyAlignment="1" applyProtection="1">
      <alignment horizontal="right"/>
    </xf>
    <xf numFmtId="0" fontId="10" fillId="0" borderId="0" xfId="0" applyFont="1" applyFill="1" applyAlignment="1">
      <alignment horizontal="left"/>
    </xf>
    <xf numFmtId="173" fontId="25" fillId="0" borderId="0" xfId="0" applyNumberFormat="1" applyFont="1" applyFill="1"/>
    <xf numFmtId="0" fontId="25" fillId="0" borderId="0" xfId="0" applyFont="1" applyFill="1"/>
    <xf numFmtId="176" fontId="11" fillId="0" borderId="0" xfId="0" applyNumberFormat="1" applyFont="1" applyFill="1" applyAlignment="1">
      <alignment horizontal="center"/>
    </xf>
    <xf numFmtId="39" fontId="9" fillId="0" borderId="0" xfId="0" quotePrefix="1" applyNumberFormat="1" applyFont="1" applyFill="1" applyAlignment="1">
      <alignment horizontal="center"/>
    </xf>
    <xf numFmtId="37" fontId="21" fillId="0" borderId="0" xfId="0" applyNumberFormat="1" applyFont="1" applyFill="1"/>
    <xf numFmtId="165" fontId="9" fillId="0" borderId="0" xfId="0" quotePrefix="1" applyNumberFormat="1" applyFont="1" applyFill="1" applyAlignment="1">
      <alignment horizontal="center"/>
    </xf>
    <xf numFmtId="165" fontId="10" fillId="0" borderId="0" xfId="0" quotePrefix="1" applyNumberFormat="1" applyFont="1" applyFill="1" applyBorder="1" applyAlignment="1">
      <alignment horizontal="right"/>
    </xf>
    <xf numFmtId="0" fontId="10" fillId="0" borderId="0" xfId="0" quotePrefix="1" applyFont="1" applyFill="1" applyAlignment="1">
      <alignment horizontal="left"/>
    </xf>
    <xf numFmtId="37" fontId="9" fillId="0" borderId="0" xfId="0" applyNumberFormat="1" applyFont="1" applyFill="1" applyAlignment="1">
      <alignment horizontal="center"/>
    </xf>
    <xf numFmtId="39" fontId="9" fillId="0" borderId="0" xfId="0" applyNumberFormat="1" applyFont="1" applyFill="1" applyAlignment="1">
      <alignment horizontal="center"/>
    </xf>
    <xf numFmtId="169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37" fontId="9" fillId="0" borderId="0" xfId="0" quotePrefix="1" applyNumberFormat="1" applyFont="1" applyFill="1" applyAlignment="1">
      <alignment horizontal="center"/>
    </xf>
    <xf numFmtId="165" fontId="9" fillId="0" borderId="0" xfId="0" quotePrefix="1" applyNumberFormat="1" applyFont="1" applyFill="1" applyBorder="1" applyAlignment="1">
      <alignment horizontal="center"/>
    </xf>
    <xf numFmtId="39" fontId="9" fillId="0" borderId="0" xfId="0" quotePrefix="1" applyNumberFormat="1" applyFont="1" applyFill="1" applyBorder="1" applyAlignment="1">
      <alignment horizontal="center"/>
    </xf>
    <xf numFmtId="37" fontId="17" fillId="0" borderId="0" xfId="0" applyNumberFormat="1" applyFont="1" applyFill="1" applyProtection="1"/>
    <xf numFmtId="0" fontId="17" fillId="0" borderId="0" xfId="0" applyFont="1" applyFill="1"/>
    <xf numFmtId="37" fontId="18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179" fontId="10" fillId="0" borderId="0" xfId="2" quotePrefix="1" applyNumberFormat="1" applyFont="1" applyFill="1" applyAlignment="1"/>
    <xf numFmtId="179" fontId="10" fillId="0" borderId="0" xfId="0" applyNumberFormat="1" applyFont="1" applyFill="1" applyAlignment="1">
      <alignment horizontal="center"/>
    </xf>
    <xf numFmtId="178" fontId="10" fillId="0" borderId="0" xfId="0" applyNumberFormat="1" applyFont="1" applyFill="1" applyAlignment="1"/>
    <xf numFmtId="178" fontId="10" fillId="0" borderId="0" xfId="0" applyNumberFormat="1" applyFont="1" applyFill="1" applyAlignment="1">
      <alignment horizontal="center"/>
    </xf>
    <xf numFmtId="39" fontId="10" fillId="0" borderId="0" xfId="0" applyNumberFormat="1" applyFont="1" applyFill="1" applyAlignment="1"/>
    <xf numFmtId="179" fontId="10" fillId="0" borderId="0" xfId="0" applyNumberFormat="1" applyFont="1" applyFill="1"/>
    <xf numFmtId="0" fontId="10" fillId="0" borderId="0" xfId="0" applyFont="1" applyFill="1" applyAlignment="1"/>
    <xf numFmtId="37" fontId="10" fillId="0" borderId="0" xfId="0" applyNumberFormat="1" applyFont="1" applyFill="1" applyAlignment="1"/>
    <xf numFmtId="39" fontId="10" fillId="0" borderId="0" xfId="0" applyNumberFormat="1" applyFont="1" applyFill="1" applyAlignment="1">
      <alignment horizontal="center"/>
    </xf>
    <xf numFmtId="37" fontId="10" fillId="0" borderId="0" xfId="0" quotePrefix="1" applyNumberFormat="1" applyFont="1" applyFill="1" applyAlignment="1"/>
    <xf numFmtId="179" fontId="10" fillId="0" borderId="12" xfId="2" quotePrefix="1" applyNumberFormat="1" applyFont="1" applyFill="1" applyBorder="1" applyAlignment="1"/>
    <xf numFmtId="39" fontId="10" fillId="0" borderId="0" xfId="0" applyNumberFormat="1" applyFont="1" applyFill="1" applyBorder="1" applyAlignment="1"/>
    <xf numFmtId="0" fontId="10" fillId="0" borderId="0" xfId="0" quotePrefix="1" applyFont="1" applyFill="1" applyBorder="1" applyAlignment="1"/>
    <xf numFmtId="37" fontId="10" fillId="0" borderId="0" xfId="0" quotePrefix="1" applyNumberFormat="1" applyFont="1" applyFill="1" applyBorder="1" applyAlignment="1"/>
    <xf numFmtId="39" fontId="9" fillId="0" borderId="0" xfId="0" applyNumberFormat="1" applyFont="1" applyFill="1" applyAlignment="1"/>
    <xf numFmtId="37" fontId="13" fillId="0" borderId="0" xfId="0" applyNumberFormat="1" applyFont="1" applyFill="1" applyAlignment="1"/>
    <xf numFmtId="37" fontId="10" fillId="0" borderId="12" xfId="0" applyNumberFormat="1" applyFont="1" applyFill="1" applyBorder="1" applyAlignment="1"/>
    <xf numFmtId="39" fontId="18" fillId="0" borderId="0" xfId="0" applyNumberFormat="1" applyFont="1" applyFill="1" applyAlignment="1" applyProtection="1">
      <protection locked="0"/>
    </xf>
    <xf numFmtId="39" fontId="13" fillId="0" borderId="0" xfId="0" applyNumberFormat="1" applyFont="1" applyFill="1" applyAlignment="1" applyProtection="1"/>
    <xf numFmtId="39" fontId="13" fillId="0" borderId="0" xfId="0" applyNumberFormat="1" applyFont="1" applyFill="1" applyProtection="1"/>
    <xf numFmtId="39" fontId="10" fillId="0" borderId="0" xfId="0" applyNumberFormat="1" applyFont="1" applyFill="1" applyAlignment="1" applyProtection="1"/>
    <xf numFmtId="39" fontId="12" fillId="0" borderId="0" xfId="0" applyNumberFormat="1" applyFont="1" applyFill="1" applyProtection="1">
      <protection locked="0"/>
    </xf>
    <xf numFmtId="0" fontId="20" fillId="0" borderId="0" xfId="3" applyFont="1"/>
    <xf numFmtId="0" fontId="1" fillId="0" borderId="0" xfId="3" applyFont="1"/>
    <xf numFmtId="0" fontId="1" fillId="0" borderId="0" xfId="3" applyFont="1" applyFill="1" applyAlignment="1" applyProtection="1">
      <alignment horizontal="left"/>
    </xf>
    <xf numFmtId="0" fontId="1" fillId="0" borderId="0" xfId="3" applyFont="1" applyFill="1"/>
    <xf numFmtId="0" fontId="20" fillId="0" borderId="0" xfId="3" applyFont="1" applyBorder="1"/>
    <xf numFmtId="0" fontId="8" fillId="0" borderId="0" xfId="3" applyFont="1" applyBorder="1" applyAlignment="1" applyProtection="1">
      <alignment horizontal="left"/>
    </xf>
    <xf numFmtId="0" fontId="8" fillId="0" borderId="0" xfId="3" applyFont="1" applyBorder="1"/>
    <xf numFmtId="0" fontId="1" fillId="0" borderId="0" xfId="3" applyFont="1" applyAlignment="1" applyProtection="1">
      <alignment horizontal="left"/>
    </xf>
    <xf numFmtId="180" fontId="1" fillId="0" borderId="0" xfId="3" applyNumberFormat="1" applyFont="1" applyAlignment="1" applyProtection="1">
      <alignment horizontal="left"/>
    </xf>
    <xf numFmtId="0" fontId="9" fillId="0" borderId="0" xfId="0" applyFont="1" applyBorder="1" applyAlignment="1">
      <alignment horizontal="right"/>
    </xf>
    <xf numFmtId="49" fontId="23" fillId="0" borderId="0" xfId="0" applyNumberFormat="1" applyFont="1" applyBorder="1"/>
    <xf numFmtId="0" fontId="10" fillId="0" borderId="0" xfId="0" quotePrefix="1" applyFont="1" applyFill="1" applyBorder="1" applyAlignment="1">
      <alignment horizontal="left"/>
    </xf>
    <xf numFmtId="37" fontId="13" fillId="0" borderId="0" xfId="0" applyNumberFormat="1" applyFont="1" applyFill="1"/>
    <xf numFmtId="0" fontId="10" fillId="0" borderId="7" xfId="0" applyFont="1" applyFill="1" applyBorder="1" applyAlignment="1">
      <alignment horizontal="center"/>
    </xf>
    <xf numFmtId="165" fontId="10" fillId="0" borderId="1" xfId="0" applyNumberFormat="1" applyFont="1" applyFill="1" applyBorder="1" applyProtection="1"/>
    <xf numFmtId="0" fontId="11" fillId="0" borderId="0" xfId="0" quotePrefix="1" applyFont="1" applyBorder="1" applyAlignment="1">
      <alignment horizontal="center"/>
    </xf>
    <xf numFmtId="179" fontId="10" fillId="0" borderId="0" xfId="0" applyNumberFormat="1" applyFont="1"/>
    <xf numFmtId="0" fontId="21" fillId="0" borderId="0" xfId="0" applyFont="1" applyFill="1" applyBorder="1"/>
    <xf numFmtId="176" fontId="11" fillId="0" borderId="0" xfId="0" applyNumberFormat="1" applyFont="1" applyBorder="1" applyAlignment="1">
      <alignment horizontal="center"/>
    </xf>
    <xf numFmtId="0" fontId="25" fillId="0" borderId="0" xfId="3" applyFont="1" applyAlignment="1" applyProtection="1">
      <alignment horizontal="left"/>
    </xf>
    <xf numFmtId="178" fontId="15" fillId="3" borderId="0" xfId="1" applyNumberFormat="1" applyFont="1" applyFill="1"/>
    <xf numFmtId="0" fontId="30" fillId="0" borderId="0" xfId="0" applyFont="1"/>
    <xf numFmtId="0" fontId="30" fillId="0" borderId="0" xfId="0" applyFont="1" applyFill="1" applyAlignment="1" applyProtection="1">
      <alignment horizontal="right"/>
      <protection locked="0"/>
    </xf>
    <xf numFmtId="0" fontId="30" fillId="0" borderId="0" xfId="0" applyFont="1" applyFill="1" applyAlignment="1">
      <alignment horizontal="right"/>
    </xf>
    <xf numFmtId="0" fontId="30" fillId="0" borderId="0" xfId="0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quotePrefix="1" applyFont="1" applyFill="1" applyAlignment="1">
      <alignment horizontal="center"/>
    </xf>
    <xf numFmtId="0" fontId="29" fillId="0" borderId="0" xfId="0" quotePrefix="1" applyFont="1" applyAlignment="1">
      <alignment horizontal="center"/>
    </xf>
    <xf numFmtId="0" fontId="29" fillId="0" borderId="0" xfId="0" quotePrefix="1" applyFont="1" applyFill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37" fontId="34" fillId="0" borderId="0" xfId="0" applyNumberFormat="1" applyFont="1" applyProtection="1"/>
    <xf numFmtId="165" fontId="34" fillId="0" borderId="0" xfId="0" applyNumberFormat="1" applyFont="1" applyProtection="1"/>
    <xf numFmtId="5" fontId="34" fillId="0" borderId="0" xfId="0" applyNumberFormat="1" applyFont="1" applyProtection="1"/>
    <xf numFmtId="5" fontId="30" fillId="0" borderId="0" xfId="0" applyNumberFormat="1" applyFont="1" applyFill="1" applyProtection="1"/>
    <xf numFmtId="10" fontId="30" fillId="0" borderId="0" xfId="0" applyNumberFormat="1" applyFont="1" applyFill="1" applyProtection="1"/>
    <xf numFmtId="39" fontId="33" fillId="0" borderId="0" xfId="0" applyNumberFormat="1" applyFont="1"/>
    <xf numFmtId="37" fontId="30" fillId="0" borderId="0" xfId="0" applyNumberFormat="1" applyFont="1"/>
    <xf numFmtId="0" fontId="30" fillId="0" borderId="0" xfId="0" quotePrefix="1" applyFont="1"/>
    <xf numFmtId="37" fontId="30" fillId="0" borderId="0" xfId="0" applyNumberFormat="1" applyFont="1" applyFill="1" applyProtection="1"/>
    <xf numFmtId="37" fontId="34" fillId="0" borderId="0" xfId="0" applyNumberFormat="1" applyFont="1" applyBorder="1" applyProtection="1"/>
    <xf numFmtId="165" fontId="34" fillId="0" borderId="0" xfId="0" applyNumberFormat="1" applyFont="1" applyBorder="1" applyProtection="1"/>
    <xf numFmtId="165" fontId="30" fillId="0" borderId="0" xfId="0" applyNumberFormat="1" applyFont="1"/>
    <xf numFmtId="5" fontId="30" fillId="0" borderId="12" xfId="0" applyNumberFormat="1" applyFont="1" applyBorder="1" applyProtection="1"/>
    <xf numFmtId="5" fontId="30" fillId="0" borderId="14" xfId="0" applyNumberFormat="1" applyFont="1" applyFill="1" applyBorder="1" applyProtection="1"/>
    <xf numFmtId="10" fontId="30" fillId="0" borderId="0" xfId="0" applyNumberFormat="1" applyFont="1" applyFill="1" applyBorder="1" applyProtection="1"/>
    <xf numFmtId="167" fontId="30" fillId="0" borderId="0" xfId="0" applyNumberFormat="1" applyFont="1" applyBorder="1" applyProtection="1"/>
    <xf numFmtId="181" fontId="30" fillId="0" borderId="0" xfId="0" applyNumberFormat="1" applyFont="1" applyBorder="1" applyProtection="1"/>
    <xf numFmtId="5" fontId="30" fillId="0" borderId="0" xfId="0" applyNumberFormat="1" applyFont="1" applyFill="1" applyBorder="1" applyProtection="1"/>
    <xf numFmtId="10" fontId="30" fillId="0" borderId="0" xfId="0" applyNumberFormat="1" applyFont="1" applyProtection="1"/>
    <xf numFmtId="10" fontId="30" fillId="0" borderId="0" xfId="0" applyNumberFormat="1" applyFont="1" applyBorder="1" applyProtection="1"/>
    <xf numFmtId="165" fontId="30" fillId="0" borderId="0" xfId="0" applyNumberFormat="1" applyFont="1" applyBorder="1" applyProtection="1"/>
    <xf numFmtId="5" fontId="30" fillId="0" borderId="0" xfId="0" applyNumberFormat="1" applyFont="1" applyBorder="1" applyProtection="1"/>
    <xf numFmtId="37" fontId="30" fillId="0" borderId="0" xfId="0" applyNumberFormat="1" applyFont="1" applyBorder="1" applyProtection="1"/>
    <xf numFmtId="0" fontId="30" fillId="0" borderId="15" xfId="0" applyFont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5" fontId="30" fillId="0" borderId="0" xfId="0" applyNumberFormat="1" applyFont="1" applyFill="1" applyAlignment="1">
      <alignment horizontal="right"/>
    </xf>
    <xf numFmtId="182" fontId="33" fillId="0" borderId="0" xfId="0" applyNumberFormat="1" applyFont="1" applyFill="1" applyAlignment="1">
      <alignment horizontal="right"/>
    </xf>
    <xf numFmtId="0" fontId="29" fillId="0" borderId="0" xfId="0" applyFont="1" applyFill="1"/>
    <xf numFmtId="182" fontId="35" fillId="0" borderId="0" xfId="0" applyNumberFormat="1" applyFont="1" applyFill="1" applyAlignment="1">
      <alignment horizontal="right"/>
    </xf>
    <xf numFmtId="182" fontId="29" fillId="0" borderId="0" xfId="0" applyNumberFormat="1" applyFont="1" applyFill="1" applyAlignment="1">
      <alignment horizontal="right"/>
    </xf>
    <xf numFmtId="183" fontId="35" fillId="0" borderId="0" xfId="0" applyNumberFormat="1" applyFont="1" applyFill="1" applyAlignment="1">
      <alignment horizontal="right"/>
    </xf>
    <xf numFmtId="184" fontId="33" fillId="0" borderId="0" xfId="0" applyNumberFormat="1" applyFont="1" applyFill="1" applyAlignment="1">
      <alignment horizontal="right"/>
    </xf>
    <xf numFmtId="184" fontId="30" fillId="0" borderId="0" xfId="0" applyNumberFormat="1" applyFont="1" applyFill="1" applyAlignment="1">
      <alignment horizontal="right"/>
    </xf>
    <xf numFmtId="5" fontId="30" fillId="6" borderId="17" xfId="0" applyNumberFormat="1" applyFont="1" applyFill="1" applyBorder="1"/>
    <xf numFmtId="5" fontId="32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37" fontId="29" fillId="0" borderId="0" xfId="0" applyNumberFormat="1" applyFont="1" applyFill="1"/>
    <xf numFmtId="184" fontId="29" fillId="0" borderId="0" xfId="0" applyNumberFormat="1" applyFont="1" applyFill="1"/>
    <xf numFmtId="37" fontId="32" fillId="0" borderId="0" xfId="0" applyNumberFormat="1" applyFont="1" applyFill="1"/>
    <xf numFmtId="5" fontId="29" fillId="0" borderId="0" xfId="0" applyNumberFormat="1" applyFont="1" applyFill="1" applyProtection="1"/>
    <xf numFmtId="184" fontId="29" fillId="0" borderId="0" xfId="0" applyNumberFormat="1" applyFont="1" applyFill="1" applyAlignment="1" applyProtection="1">
      <alignment horizontal="right"/>
    </xf>
    <xf numFmtId="167" fontId="29" fillId="0" borderId="0" xfId="0" applyNumberFormat="1" applyFont="1" applyFill="1" applyAlignment="1" applyProtection="1">
      <alignment horizontal="center"/>
    </xf>
    <xf numFmtId="37" fontId="29" fillId="0" borderId="0" xfId="0" applyNumberFormat="1" applyFont="1" applyFill="1" applyAlignment="1" applyProtection="1"/>
    <xf numFmtId="37" fontId="29" fillId="0" borderId="0" xfId="0" applyNumberFormat="1" applyFont="1" applyFill="1" applyAlignment="1"/>
    <xf numFmtId="167" fontId="30" fillId="0" borderId="0" xfId="0" applyNumberFormat="1" applyFont="1" applyFill="1" applyAlignment="1" applyProtection="1">
      <alignment horizontal="center"/>
    </xf>
    <xf numFmtId="5" fontId="30" fillId="0" borderId="0" xfId="0" applyNumberFormat="1" applyFont="1" applyFill="1"/>
    <xf numFmtId="0" fontId="31" fillId="0" borderId="0" xfId="0" applyFont="1" applyFill="1" applyAlignment="1">
      <alignment horizontal="center"/>
    </xf>
    <xf numFmtId="0" fontId="31" fillId="0" borderId="0" xfId="0" quotePrefix="1" applyFont="1" applyAlignment="1">
      <alignment horizontal="center"/>
    </xf>
    <xf numFmtId="0" fontId="30" fillId="0" borderId="0" xfId="0" quotePrefix="1" applyFont="1" applyFill="1" applyAlignment="1">
      <alignment horizontal="center"/>
    </xf>
    <xf numFmtId="0" fontId="30" fillId="0" borderId="0" xfId="0" quotePrefix="1" applyFont="1" applyAlignment="1">
      <alignment horizontal="center"/>
    </xf>
    <xf numFmtId="0" fontId="29" fillId="0" borderId="0" xfId="0" quotePrefix="1" applyFont="1" applyFill="1"/>
    <xf numFmtId="37" fontId="30" fillId="0" borderId="0" xfId="0" applyNumberFormat="1" applyFont="1" applyFill="1"/>
    <xf numFmtId="37" fontId="34" fillId="0" borderId="0" xfId="0" applyNumberFormat="1" applyFont="1" applyFill="1" applyProtection="1"/>
    <xf numFmtId="39" fontId="30" fillId="0" borderId="0" xfId="0" applyNumberFormat="1" applyFont="1" applyFill="1"/>
    <xf numFmtId="167" fontId="30" fillId="0" borderId="0" xfId="0" applyNumberFormat="1" applyFont="1"/>
    <xf numFmtId="39" fontId="30" fillId="0" borderId="0" xfId="0" applyNumberFormat="1" applyFont="1"/>
    <xf numFmtId="39" fontId="29" fillId="0" borderId="0" xfId="0" applyNumberFormat="1" applyFont="1" applyFill="1"/>
    <xf numFmtId="183" fontId="30" fillId="0" borderId="0" xfId="0" applyNumberFormat="1" applyFont="1"/>
    <xf numFmtId="165" fontId="30" fillId="0" borderId="0" xfId="0" applyNumberFormat="1" applyFont="1" applyFill="1"/>
    <xf numFmtId="167" fontId="29" fillId="0" borderId="0" xfId="0" applyNumberFormat="1" applyFont="1" applyFill="1"/>
    <xf numFmtId="167" fontId="30" fillId="0" borderId="0" xfId="0" applyNumberFormat="1" applyFont="1" applyFill="1"/>
    <xf numFmtId="165" fontId="29" fillId="0" borderId="0" xfId="0" applyNumberFormat="1" applyFont="1" applyFill="1"/>
    <xf numFmtId="166" fontId="29" fillId="0" borderId="0" xfId="0" applyNumberFormat="1" applyFont="1" applyFill="1"/>
    <xf numFmtId="174" fontId="29" fillId="0" borderId="0" xfId="0" applyNumberFormat="1" applyFont="1" applyFill="1"/>
    <xf numFmtId="37" fontId="29" fillId="0" borderId="0" xfId="0" applyNumberFormat="1" applyFont="1"/>
    <xf numFmtId="37" fontId="30" fillId="0" borderId="0" xfId="0" applyNumberFormat="1" applyFont="1" applyBorder="1"/>
    <xf numFmtId="0" fontId="30" fillId="0" borderId="0" xfId="0" applyFont="1" applyBorder="1"/>
    <xf numFmtId="0" fontId="30" fillId="0" borderId="0" xfId="0" applyFont="1" applyFill="1" applyBorder="1"/>
    <xf numFmtId="37" fontId="32" fillId="0" borderId="0" xfId="0" applyNumberFormat="1" applyFont="1" applyFill="1" applyBorder="1"/>
    <xf numFmtId="37" fontId="3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177" fontId="21" fillId="0" borderId="0" xfId="1" applyNumberFormat="1" applyFont="1" applyFill="1" applyBorder="1"/>
    <xf numFmtId="165" fontId="9" fillId="0" borderId="0" xfId="0" quotePrefix="1" applyNumberFormat="1" applyFont="1" applyBorder="1" applyAlignment="1">
      <alignment horizontal="center"/>
    </xf>
    <xf numFmtId="39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0" fontId="9" fillId="5" borderId="10" xfId="0" applyFont="1" applyFill="1" applyBorder="1" applyAlignment="1"/>
    <xf numFmtId="0" fontId="9" fillId="5" borderId="5" xfId="0" applyFont="1" applyFill="1" applyBorder="1" applyAlignment="1">
      <alignment horizontal="center"/>
    </xf>
    <xf numFmtId="165" fontId="10" fillId="5" borderId="6" xfId="0" applyNumberFormat="1" applyFont="1" applyFill="1" applyBorder="1"/>
    <xf numFmtId="0" fontId="10" fillId="5" borderId="7" xfId="0" applyFont="1" applyFill="1" applyBorder="1" applyAlignment="1">
      <alignment horizontal="center"/>
    </xf>
    <xf numFmtId="0" fontId="10" fillId="5" borderId="0" xfId="0" quotePrefix="1" applyFont="1" applyFill="1" applyBorder="1" applyAlignment="1">
      <alignment horizontal="center"/>
    </xf>
    <xf numFmtId="165" fontId="10" fillId="5" borderId="3" xfId="0" quotePrefix="1" applyNumberFormat="1" applyFont="1" applyFill="1" applyBorder="1" applyAlignment="1">
      <alignment horizontal="center"/>
    </xf>
    <xf numFmtId="0" fontId="10" fillId="5" borderId="7" xfId="0" quotePrefix="1" applyFont="1" applyFill="1" applyBorder="1" applyAlignment="1"/>
    <xf numFmtId="0" fontId="10" fillId="5" borderId="7" xfId="0" applyFont="1" applyFill="1" applyBorder="1"/>
    <xf numFmtId="0" fontId="10" fillId="5" borderId="8" xfId="0" applyFont="1" applyFill="1" applyBorder="1"/>
    <xf numFmtId="0" fontId="10" fillId="0" borderId="0" xfId="0" applyFont="1" applyFill="1" applyBorder="1" applyAlignment="1" applyProtection="1">
      <alignment horizontal="right"/>
      <protection locked="0"/>
    </xf>
    <xf numFmtId="165" fontId="21" fillId="0" borderId="0" xfId="0" applyNumberFormat="1" applyFont="1" applyFill="1" applyBorder="1"/>
    <xf numFmtId="164" fontId="9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  <protection locked="0"/>
    </xf>
    <xf numFmtId="37" fontId="9" fillId="0" borderId="0" xfId="0" applyNumberFormat="1" applyFont="1" applyFill="1" applyBorder="1" applyAlignment="1">
      <alignment horizontal="center"/>
    </xf>
    <xf numFmtId="39" fontId="9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Protection="1">
      <protection locked="0"/>
    </xf>
    <xf numFmtId="165" fontId="24" fillId="0" borderId="0" xfId="0" applyNumberFormat="1" applyFont="1" applyFill="1" applyBorder="1"/>
    <xf numFmtId="165" fontId="22" fillId="0" borderId="0" xfId="0" applyNumberFormat="1" applyFont="1" applyFill="1" applyBorder="1"/>
    <xf numFmtId="165" fontId="26" fillId="0" borderId="0" xfId="0" applyNumberFormat="1" applyFont="1" applyFill="1" applyBorder="1"/>
    <xf numFmtId="165" fontId="27" fillId="0" borderId="0" xfId="0" applyNumberFormat="1" applyFont="1" applyFill="1" applyBorder="1"/>
    <xf numFmtId="177" fontId="24" fillId="0" borderId="0" xfId="1" applyNumberFormat="1" applyFont="1" applyFill="1" applyBorder="1"/>
    <xf numFmtId="177" fontId="15" fillId="0" borderId="0" xfId="1" applyNumberFormat="1" applyFont="1" applyBorder="1"/>
    <xf numFmtId="177" fontId="22" fillId="0" borderId="0" xfId="1" applyNumberFormat="1" applyFont="1" applyFill="1" applyBorder="1"/>
    <xf numFmtId="177" fontId="21" fillId="5" borderId="0" xfId="1" quotePrefix="1" applyNumberFormat="1" applyFont="1" applyFill="1" applyBorder="1" applyAlignment="1">
      <alignment horizontal="right"/>
    </xf>
    <xf numFmtId="43" fontId="10" fillId="5" borderId="3" xfId="0" quotePrefix="1" applyNumberFormat="1" applyFont="1" applyFill="1" applyBorder="1" applyAlignment="1">
      <alignment horizontal="right"/>
    </xf>
    <xf numFmtId="165" fontId="10" fillId="5" borderId="0" xfId="0" quotePrefix="1" applyNumberFormat="1" applyFont="1" applyFill="1" applyBorder="1" applyAlignment="1">
      <alignment horizontal="right"/>
    </xf>
    <xf numFmtId="177" fontId="10" fillId="5" borderId="0" xfId="0" quotePrefix="1" applyNumberFormat="1" applyFont="1" applyFill="1" applyBorder="1" applyAlignment="1">
      <alignment horizontal="right"/>
    </xf>
    <xf numFmtId="43" fontId="13" fillId="5" borderId="0" xfId="0" quotePrefix="1" applyNumberFormat="1" applyFont="1" applyFill="1" applyBorder="1" applyAlignment="1">
      <alignment horizontal="right"/>
    </xf>
    <xf numFmtId="177" fontId="22" fillId="5" borderId="0" xfId="1" quotePrefix="1" applyNumberFormat="1" applyFont="1" applyFill="1" applyBorder="1" applyAlignment="1">
      <alignment horizontal="right"/>
    </xf>
    <xf numFmtId="43" fontId="15" fillId="5" borderId="3" xfId="0" quotePrefix="1" applyNumberFormat="1" applyFont="1" applyFill="1" applyBorder="1" applyAlignment="1">
      <alignment horizontal="right"/>
    </xf>
    <xf numFmtId="177" fontId="10" fillId="5" borderId="1" xfId="1" applyNumberFormat="1" applyFont="1" applyFill="1" applyBorder="1"/>
    <xf numFmtId="177" fontId="10" fillId="5" borderId="9" xfId="1" applyNumberFormat="1" applyFont="1" applyFill="1" applyBorder="1"/>
    <xf numFmtId="43" fontId="10" fillId="5" borderId="0" xfId="0" quotePrefix="1" applyNumberFormat="1" applyFont="1" applyFill="1" applyBorder="1" applyAlignment="1">
      <alignment horizontal="right"/>
    </xf>
    <xf numFmtId="165" fontId="10" fillId="0" borderId="9" xfId="0" applyNumberFormat="1" applyFont="1" applyBorder="1"/>
    <xf numFmtId="0" fontId="9" fillId="0" borderId="1" xfId="0" applyFont="1" applyFill="1" applyBorder="1" applyAlignment="1">
      <alignment horizontal="center"/>
    </xf>
    <xf numFmtId="165" fontId="13" fillId="0" borderId="3" xfId="0" applyNumberFormat="1" applyFont="1" applyFill="1" applyBorder="1"/>
    <xf numFmtId="37" fontId="22" fillId="0" borderId="0" xfId="0" applyNumberFormat="1" applyFont="1" applyFill="1"/>
    <xf numFmtId="0" fontId="16" fillId="0" borderId="0" xfId="0" applyFont="1" applyFill="1" applyBorder="1"/>
    <xf numFmtId="0" fontId="40" fillId="0" borderId="0" xfId="0" applyFont="1"/>
    <xf numFmtId="0" fontId="39" fillId="0" borderId="0" xfId="0" applyFont="1" applyAlignment="1">
      <alignment horizontal="center"/>
    </xf>
    <xf numFmtId="164" fontId="39" fillId="0" borderId="0" xfId="0" applyNumberFormat="1" applyFont="1" applyFill="1" applyAlignment="1" applyProtection="1">
      <alignment horizontal="right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0" fontId="40" fillId="0" borderId="0" xfId="0" applyFont="1" applyFill="1"/>
    <xf numFmtId="0" fontId="39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/>
    </xf>
    <xf numFmtId="176" fontId="41" fillId="0" borderId="0" xfId="0" applyNumberFormat="1" applyFont="1" applyFill="1" applyAlignment="1">
      <alignment horizontal="center"/>
    </xf>
    <xf numFmtId="39" fontId="39" fillId="0" borderId="0" xfId="0" applyNumberFormat="1" applyFont="1" applyFill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42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165" fontId="43" fillId="0" borderId="0" xfId="0" applyNumberFormat="1" applyFont="1" applyFill="1" applyProtection="1">
      <protection locked="0"/>
    </xf>
    <xf numFmtId="165" fontId="40" fillId="0" borderId="0" xfId="0" applyNumberFormat="1" applyFont="1" applyFill="1" applyProtection="1"/>
    <xf numFmtId="0" fontId="43" fillId="0" borderId="0" xfId="0" quotePrefix="1" applyFont="1" applyFill="1" applyProtection="1">
      <protection locked="0"/>
    </xf>
    <xf numFmtId="0" fontId="43" fillId="0" borderId="0" xfId="0" quotePrefix="1" applyFont="1" applyFill="1" applyAlignment="1" applyProtection="1">
      <alignment horizontal="center"/>
      <protection locked="0"/>
    </xf>
    <xf numFmtId="0" fontId="44" fillId="0" borderId="0" xfId="0" applyFont="1" applyFill="1" applyAlignment="1">
      <alignment horizontal="center"/>
    </xf>
    <xf numFmtId="0" fontId="40" fillId="0" borderId="0" xfId="0" applyFont="1" applyFill="1" applyProtection="1">
      <protection locked="0"/>
    </xf>
    <xf numFmtId="37" fontId="43" fillId="0" borderId="0" xfId="0" applyNumberFormat="1" applyFont="1" applyFill="1" applyAlignment="1" applyProtection="1">
      <alignment horizontal="center"/>
      <protection locked="0"/>
    </xf>
    <xf numFmtId="165" fontId="40" fillId="0" borderId="0" xfId="0" applyNumberFormat="1" applyFont="1" applyFill="1"/>
    <xf numFmtId="0" fontId="43" fillId="0" borderId="0" xfId="0" applyFont="1" applyFill="1" applyAlignment="1">
      <alignment horizontal="center"/>
    </xf>
    <xf numFmtId="0" fontId="44" fillId="0" borderId="0" xfId="0" applyFont="1" applyFill="1"/>
    <xf numFmtId="0" fontId="45" fillId="0" borderId="0" xfId="0" applyFont="1" applyFill="1" applyProtection="1">
      <protection locked="0"/>
    </xf>
    <xf numFmtId="0" fontId="43" fillId="0" borderId="0" xfId="0" applyFont="1" applyFill="1"/>
    <xf numFmtId="0" fontId="40" fillId="0" borderId="0" xfId="0" applyFont="1" applyAlignment="1">
      <alignment horizontal="center"/>
    </xf>
    <xf numFmtId="37" fontId="43" fillId="0" borderId="0" xfId="0" applyNumberFormat="1" applyFont="1" applyFill="1" applyProtection="1">
      <protection locked="0"/>
    </xf>
    <xf numFmtId="165" fontId="43" fillId="0" borderId="0" xfId="0" applyNumberFormat="1" applyFont="1" applyProtection="1">
      <protection locked="0"/>
    </xf>
    <xf numFmtId="165" fontId="40" fillId="0" borderId="0" xfId="0" applyNumberFormat="1" applyFont="1" applyProtection="1"/>
    <xf numFmtId="0" fontId="43" fillId="0" borderId="0" xfId="0" applyFont="1" applyProtection="1">
      <protection locked="0"/>
    </xf>
    <xf numFmtId="37" fontId="43" fillId="0" borderId="0" xfId="0" applyNumberFormat="1" applyFont="1" applyProtection="1">
      <protection locked="0"/>
    </xf>
    <xf numFmtId="0" fontId="45" fillId="0" borderId="0" xfId="0" applyFont="1" applyProtection="1">
      <protection locked="0"/>
    </xf>
    <xf numFmtId="0" fontId="43" fillId="0" borderId="0" xfId="0" quotePrefix="1" applyFont="1" applyProtection="1">
      <protection locked="0"/>
    </xf>
    <xf numFmtId="0" fontId="43" fillId="0" borderId="0" xfId="0" quotePrefix="1" applyFont="1" applyAlignment="1" applyProtection="1">
      <alignment horizontal="center"/>
      <protection locked="0"/>
    </xf>
    <xf numFmtId="165" fontId="39" fillId="0" borderId="0" xfId="0" applyNumberFormat="1" applyFont="1" applyProtection="1"/>
    <xf numFmtId="0" fontId="39" fillId="0" borderId="0" xfId="0" applyFont="1"/>
    <xf numFmtId="165" fontId="40" fillId="0" borderId="0" xfId="0" applyNumberFormat="1" applyFont="1" applyProtection="1">
      <protection locked="0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165" fontId="41" fillId="0" borderId="0" xfId="0" applyNumberFormat="1" applyFont="1" applyAlignment="1" applyProtection="1">
      <alignment horizontal="center"/>
    </xf>
    <xf numFmtId="165" fontId="39" fillId="0" borderId="0" xfId="0" applyNumberFormat="1" applyFont="1" applyAlignment="1" applyProtection="1">
      <alignment horizontal="center"/>
    </xf>
    <xf numFmtId="165" fontId="40" fillId="0" borderId="0" xfId="0" applyNumberFormat="1" applyFont="1"/>
    <xf numFmtId="37" fontId="40" fillId="0" borderId="0" xfId="0" applyNumberFormat="1" applyFont="1"/>
    <xf numFmtId="168" fontId="46" fillId="0" borderId="0" xfId="0" applyNumberFormat="1" applyFont="1"/>
    <xf numFmtId="37" fontId="47" fillId="0" borderId="0" xfId="0" applyNumberFormat="1" applyFont="1"/>
    <xf numFmtId="178" fontId="13" fillId="0" borderId="0" xfId="0" applyNumberFormat="1" applyFont="1" applyFill="1" applyAlignment="1">
      <alignment horizontal="center"/>
    </xf>
    <xf numFmtId="179" fontId="10" fillId="0" borderId="0" xfId="2" quotePrefix="1" applyNumberFormat="1" applyFont="1" applyFill="1" applyBorder="1" applyAlignment="1"/>
    <xf numFmtId="178" fontId="15" fillId="0" borderId="0" xfId="0" applyNumberFormat="1" applyFont="1" applyFill="1" applyAlignment="1">
      <alignment horizontal="center"/>
    </xf>
    <xf numFmtId="37" fontId="15" fillId="0" borderId="0" xfId="0" quotePrefix="1" applyNumberFormat="1" applyFont="1" applyFill="1" applyAlignment="1"/>
    <xf numFmtId="165" fontId="34" fillId="0" borderId="0" xfId="0" applyNumberFormat="1" applyFont="1" applyFill="1" applyProtection="1"/>
    <xf numFmtId="165" fontId="34" fillId="0" borderId="0" xfId="0" applyNumberFormat="1" applyFont="1" applyFill="1" applyBorder="1" applyProtection="1"/>
    <xf numFmtId="37" fontId="34" fillId="0" borderId="0" xfId="0" applyNumberFormat="1" applyFont="1" applyFill="1" applyBorder="1" applyProtection="1"/>
    <xf numFmtId="5" fontId="34" fillId="0" borderId="0" xfId="0" applyNumberFormat="1" applyFont="1" applyFill="1" applyProtection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165" fontId="13" fillId="0" borderId="3" xfId="0" applyNumberFormat="1" applyFont="1" applyBorder="1"/>
    <xf numFmtId="0" fontId="29" fillId="0" borderId="0" xfId="0" applyFont="1" applyFill="1" applyAlignment="1">
      <alignment horizontal="center"/>
    </xf>
    <xf numFmtId="0" fontId="29" fillId="0" borderId="0" xfId="0" quotePrefix="1" applyFont="1" applyAlignment="1">
      <alignment horizontal="center"/>
    </xf>
    <xf numFmtId="169" fontId="30" fillId="0" borderId="0" xfId="0" applyNumberFormat="1" applyFont="1"/>
    <xf numFmtId="0" fontId="29" fillId="0" borderId="0" xfId="0" applyFont="1" applyAlignment="1">
      <alignment horizontal="right"/>
    </xf>
    <xf numFmtId="49" fontId="29" fillId="0" borderId="0" xfId="0" applyNumberFormat="1" applyFont="1" applyFill="1" applyBorder="1"/>
    <xf numFmtId="39" fontId="30" fillId="0" borderId="0" xfId="0" applyNumberFormat="1" applyFont="1" applyBorder="1"/>
    <xf numFmtId="37" fontId="29" fillId="0" borderId="0" xfId="0" applyNumberFormat="1" applyFont="1" applyAlignment="1">
      <alignment horizontal="center"/>
    </xf>
    <xf numFmtId="39" fontId="29" fillId="0" borderId="0" xfId="0" applyNumberFormat="1" applyFont="1" applyAlignment="1">
      <alignment horizontal="center"/>
    </xf>
    <xf numFmtId="169" fontId="29" fillId="0" borderId="0" xfId="0" applyNumberFormat="1" applyFont="1" applyAlignment="1">
      <alignment horizontal="center"/>
    </xf>
    <xf numFmtId="165" fontId="29" fillId="0" borderId="0" xfId="0" applyNumberFormat="1" applyFont="1" applyAlignment="1">
      <alignment horizontal="center"/>
    </xf>
    <xf numFmtId="37" fontId="31" fillId="0" borderId="0" xfId="0" applyNumberFormat="1" applyFont="1" applyAlignment="1">
      <alignment horizontal="center"/>
    </xf>
    <xf numFmtId="176" fontId="31" fillId="0" borderId="0" xfId="0" applyNumberFormat="1" applyFont="1" applyFill="1" applyAlignment="1">
      <alignment horizontal="center"/>
    </xf>
    <xf numFmtId="176" fontId="31" fillId="0" borderId="0" xfId="0" applyNumberFormat="1" applyFont="1" applyAlignment="1">
      <alignment horizontal="center"/>
    </xf>
    <xf numFmtId="37" fontId="29" fillId="0" borderId="0" xfId="0" quotePrefix="1" applyNumberFormat="1" applyFont="1" applyAlignment="1">
      <alignment horizontal="center"/>
    </xf>
    <xf numFmtId="165" fontId="29" fillId="0" borderId="0" xfId="0" quotePrefix="1" applyNumberFormat="1" applyFont="1" applyAlignment="1">
      <alignment horizontal="center"/>
    </xf>
    <xf numFmtId="39" fontId="29" fillId="0" borderId="0" xfId="0" quotePrefix="1" applyNumberFormat="1" applyFont="1" applyAlignment="1">
      <alignment horizontal="center"/>
    </xf>
    <xf numFmtId="0" fontId="32" fillId="0" borderId="0" xfId="0" applyFont="1" applyFill="1"/>
    <xf numFmtId="5" fontId="30" fillId="0" borderId="0" xfId="2" applyNumberFormat="1" applyFont="1"/>
    <xf numFmtId="5" fontId="30" fillId="0" borderId="0" xfId="0" applyNumberFormat="1" applyFont="1"/>
    <xf numFmtId="37" fontId="30" fillId="0" borderId="0" xfId="1" applyNumberFormat="1" applyFont="1"/>
    <xf numFmtId="171" fontId="30" fillId="0" borderId="0" xfId="0" applyNumberFormat="1" applyFont="1" applyFill="1" applyAlignment="1">
      <alignment horizontal="center"/>
    </xf>
    <xf numFmtId="37" fontId="32" fillId="0" borderId="0" xfId="0" applyNumberFormat="1" applyFont="1"/>
    <xf numFmtId="7" fontId="30" fillId="0" borderId="0" xfId="0" applyNumberFormat="1" applyFont="1"/>
    <xf numFmtId="0" fontId="29" fillId="0" borderId="0" xfId="0" applyFont="1" applyFill="1" applyBorder="1"/>
    <xf numFmtId="49" fontId="35" fillId="0" borderId="0" xfId="0" applyNumberFormat="1" applyFont="1" applyFill="1" applyBorder="1"/>
    <xf numFmtId="169" fontId="30" fillId="0" borderId="0" xfId="0" applyNumberFormat="1" applyFont="1" applyBorder="1"/>
    <xf numFmtId="165" fontId="30" fillId="0" borderId="0" xfId="0" applyNumberFormat="1" applyFont="1" applyBorder="1"/>
    <xf numFmtId="169" fontId="29" fillId="0" borderId="0" xfId="0" quotePrefix="1" applyNumberFormat="1" applyFont="1" applyAlignment="1">
      <alignment horizontal="center"/>
    </xf>
    <xf numFmtId="0" fontId="31" fillId="0" borderId="0" xfId="0" applyFont="1"/>
    <xf numFmtId="0" fontId="30" fillId="0" borderId="10" xfId="0" applyFont="1" applyBorder="1"/>
    <xf numFmtId="0" fontId="30" fillId="0" borderId="5" xfId="0" applyFont="1" applyBorder="1"/>
    <xf numFmtId="0" fontId="30" fillId="0" borderId="6" xfId="0" applyFont="1" applyBorder="1"/>
    <xf numFmtId="0" fontId="29" fillId="0" borderId="7" xfId="0" applyFont="1" applyBorder="1"/>
    <xf numFmtId="0" fontId="30" fillId="0" borderId="3" xfId="0" applyFont="1" applyBorder="1"/>
    <xf numFmtId="0" fontId="30" fillId="0" borderId="0" xfId="0" applyFont="1" applyAlignment="1">
      <alignment horizontal="left"/>
    </xf>
    <xf numFmtId="0" fontId="30" fillId="0" borderId="7" xfId="0" applyFont="1" applyBorder="1"/>
    <xf numFmtId="0" fontId="30" fillId="0" borderId="2" xfId="0" applyFont="1" applyFill="1" applyBorder="1"/>
    <xf numFmtId="0" fontId="30" fillId="0" borderId="2" xfId="0" applyFont="1" applyBorder="1"/>
    <xf numFmtId="0" fontId="30" fillId="0" borderId="2" xfId="0" applyFont="1" applyBorder="1" applyAlignment="1">
      <alignment horizontal="left"/>
    </xf>
    <xf numFmtId="37" fontId="30" fillId="0" borderId="2" xfId="0" applyNumberFormat="1" applyFont="1" applyBorder="1"/>
    <xf numFmtId="5" fontId="30" fillId="0" borderId="2" xfId="2" applyNumberFormat="1" applyFont="1" applyBorder="1"/>
    <xf numFmtId="43" fontId="30" fillId="0" borderId="0" xfId="0" applyNumberFormat="1" applyFont="1" applyBorder="1"/>
    <xf numFmtId="0" fontId="30" fillId="0" borderId="8" xfId="0" applyFont="1" applyBorder="1"/>
    <xf numFmtId="0" fontId="30" fillId="0" borderId="1" xfId="0" applyFont="1" applyBorder="1"/>
    <xf numFmtId="0" fontId="30" fillId="0" borderId="9" xfId="0" applyFont="1" applyBorder="1"/>
    <xf numFmtId="0" fontId="30" fillId="0" borderId="0" xfId="0" applyFont="1" applyBorder="1" applyAlignment="1">
      <alignment horizontal="left"/>
    </xf>
    <xf numFmtId="0" fontId="50" fillId="0" borderId="0" xfId="0" applyFont="1" applyFill="1"/>
    <xf numFmtId="0" fontId="50" fillId="0" borderId="0" xfId="0" quotePrefix="1" applyFont="1" applyFill="1"/>
    <xf numFmtId="0" fontId="30" fillId="0" borderId="0" xfId="0" applyFont="1" applyAlignment="1"/>
    <xf numFmtId="179" fontId="30" fillId="0" borderId="0" xfId="2" applyNumberFormat="1" applyFont="1"/>
    <xf numFmtId="0" fontId="30" fillId="0" borderId="0" xfId="0" quotePrefix="1" applyFont="1" applyFill="1"/>
    <xf numFmtId="37" fontId="30" fillId="0" borderId="2" xfId="0" applyNumberFormat="1" applyFont="1" applyFill="1" applyBorder="1"/>
    <xf numFmtId="0" fontId="32" fillId="0" borderId="0" xfId="0" applyFont="1"/>
    <xf numFmtId="39" fontId="32" fillId="0" borderId="0" xfId="0" applyNumberFormat="1" applyFont="1"/>
    <xf numFmtId="165" fontId="32" fillId="0" borderId="0" xfId="0" applyNumberFormat="1" applyFont="1"/>
    <xf numFmtId="37" fontId="32" fillId="0" borderId="2" xfId="0" applyNumberFormat="1" applyFont="1" applyBorder="1"/>
    <xf numFmtId="179" fontId="30" fillId="0" borderId="0" xfId="2" applyNumberFormat="1" applyFont="1" applyFill="1"/>
    <xf numFmtId="37" fontId="50" fillId="0" borderId="0" xfId="3" applyNumberFormat="1" applyFont="1" applyFill="1" applyProtection="1"/>
    <xf numFmtId="5" fontId="33" fillId="0" borderId="0" xfId="2" applyNumberFormat="1" applyFont="1" applyFill="1"/>
    <xf numFmtId="169" fontId="30" fillId="0" borderId="0" xfId="0" applyNumberFormat="1" applyFont="1" applyFill="1"/>
    <xf numFmtId="5" fontId="30" fillId="0" borderId="0" xfId="2" applyNumberFormat="1" applyFont="1" applyFill="1"/>
    <xf numFmtId="43" fontId="30" fillId="0" borderId="0" xfId="1" applyFont="1"/>
    <xf numFmtId="178" fontId="30" fillId="0" borderId="0" xfId="1" applyNumberFormat="1" applyFont="1" applyFill="1"/>
    <xf numFmtId="178" fontId="30" fillId="0" borderId="0" xfId="1" applyNumberFormat="1" applyFont="1"/>
    <xf numFmtId="2" fontId="30" fillId="0" borderId="0" xfId="1" applyNumberFormat="1" applyFont="1"/>
    <xf numFmtId="0" fontId="51" fillId="0" borderId="0" xfId="0" applyFont="1"/>
    <xf numFmtId="177" fontId="30" fillId="0" borderId="0" xfId="1" applyNumberFormat="1" applyFont="1" applyFill="1"/>
    <xf numFmtId="177" fontId="30" fillId="0" borderId="0" xfId="1" applyNumberFormat="1" applyFont="1"/>
    <xf numFmtId="0" fontId="30" fillId="0" borderId="0" xfId="0" quotePrefix="1" applyFont="1" applyBorder="1" applyAlignment="1">
      <alignment horizontal="left"/>
    </xf>
    <xf numFmtId="172" fontId="30" fillId="0" borderId="0" xfId="1" applyNumberFormat="1" applyFont="1"/>
    <xf numFmtId="39" fontId="32" fillId="0" borderId="0" xfId="0" applyNumberFormat="1" applyFont="1" applyBorder="1"/>
    <xf numFmtId="43" fontId="32" fillId="0" borderId="0" xfId="0" applyNumberFormat="1" applyFont="1" applyBorder="1"/>
    <xf numFmtId="43" fontId="30" fillId="0" borderId="0" xfId="1" applyFont="1" applyFill="1"/>
    <xf numFmtId="5" fontId="32" fillId="0" borderId="0" xfId="2" applyNumberFormat="1" applyFont="1"/>
    <xf numFmtId="179" fontId="32" fillId="0" borderId="0" xfId="2" applyNumberFormat="1" applyFont="1"/>
    <xf numFmtId="2" fontId="30" fillId="0" borderId="0" xfId="1" applyNumberFormat="1" applyFont="1" applyBorder="1"/>
    <xf numFmtId="5" fontId="30" fillId="0" borderId="0" xfId="2" applyNumberFormat="1" applyFont="1" applyBorder="1"/>
    <xf numFmtId="2" fontId="51" fillId="0" borderId="0" xfId="1" applyNumberFormat="1" applyFont="1"/>
    <xf numFmtId="0" fontId="30" fillId="0" borderId="13" xfId="0" applyFont="1" applyFill="1" applyBorder="1"/>
    <xf numFmtId="0" fontId="30" fillId="0" borderId="13" xfId="0" applyFont="1" applyBorder="1"/>
    <xf numFmtId="37" fontId="30" fillId="0" borderId="13" xfId="0" applyNumberFormat="1" applyFont="1" applyBorder="1"/>
    <xf numFmtId="2" fontId="30" fillId="0" borderId="13" xfId="1" applyNumberFormat="1" applyFont="1" applyBorder="1"/>
    <xf numFmtId="5" fontId="30" fillId="0" borderId="13" xfId="2" applyNumberFormat="1" applyFont="1" applyBorder="1"/>
    <xf numFmtId="43" fontId="30" fillId="0" borderId="0" xfId="1" applyFont="1" applyBorder="1"/>
    <xf numFmtId="0" fontId="29" fillId="0" borderId="0" xfId="0" applyFont="1" applyBorder="1"/>
    <xf numFmtId="39" fontId="30" fillId="0" borderId="0" xfId="0" applyNumberFormat="1" applyFont="1" applyFill="1" applyBorder="1"/>
    <xf numFmtId="169" fontId="30" fillId="0" borderId="0" xfId="0" applyNumberFormat="1" applyFont="1" applyFill="1" applyBorder="1"/>
    <xf numFmtId="165" fontId="30" fillId="0" borderId="0" xfId="0" applyNumberFormat="1" applyFont="1" applyFill="1" applyBorder="1"/>
    <xf numFmtId="178" fontId="30" fillId="0" borderId="0" xfId="1" applyNumberFormat="1" applyFont="1" applyFill="1" applyBorder="1"/>
    <xf numFmtId="178" fontId="30" fillId="0" borderId="0" xfId="0" applyNumberFormat="1" applyFont="1" applyBorder="1"/>
    <xf numFmtId="177" fontId="30" fillId="0" borderId="0" xfId="1" applyNumberFormat="1" applyFont="1" applyFill="1" applyBorder="1"/>
    <xf numFmtId="177" fontId="30" fillId="0" borderId="0" xfId="0" applyNumberFormat="1" applyFont="1" applyBorder="1"/>
    <xf numFmtId="169" fontId="32" fillId="0" borderId="0" xfId="0" applyNumberFormat="1" applyFont="1" applyBorder="1"/>
    <xf numFmtId="179" fontId="30" fillId="0" borderId="0" xfId="2" applyNumberFormat="1" applyFont="1" applyBorder="1"/>
    <xf numFmtId="5" fontId="32" fillId="0" borderId="0" xfId="2" applyNumberFormat="1" applyFont="1" applyBorder="1"/>
    <xf numFmtId="178" fontId="30" fillId="0" borderId="0" xfId="0" applyNumberFormat="1" applyFont="1"/>
    <xf numFmtId="177" fontId="30" fillId="0" borderId="0" xfId="0" applyNumberFormat="1" applyFont="1"/>
    <xf numFmtId="39" fontId="50" fillId="0" borderId="0" xfId="0" applyNumberFormat="1" applyFont="1" applyFill="1"/>
    <xf numFmtId="172" fontId="30" fillId="0" borderId="0" xfId="0" applyNumberFormat="1" applyFont="1"/>
    <xf numFmtId="172" fontId="30" fillId="0" borderId="0" xfId="0" applyNumberFormat="1" applyFont="1" applyFill="1"/>
    <xf numFmtId="5" fontId="33" fillId="0" borderId="0" xfId="2" applyNumberFormat="1" applyFont="1"/>
    <xf numFmtId="37" fontId="51" fillId="0" borderId="0" xfId="0" applyNumberFormat="1" applyFont="1"/>
    <xf numFmtId="37" fontId="51" fillId="0" borderId="0" xfId="0" applyNumberFormat="1" applyFont="1" applyFill="1"/>
    <xf numFmtId="4" fontId="30" fillId="0" borderId="0" xfId="0" applyNumberFormat="1" applyFont="1" applyFill="1"/>
    <xf numFmtId="0" fontId="51" fillId="0" borderId="0" xfId="0" applyFont="1" applyFill="1"/>
    <xf numFmtId="165" fontId="32" fillId="0" borderId="0" xfId="0" applyNumberFormat="1" applyFont="1" applyFill="1"/>
    <xf numFmtId="0" fontId="30" fillId="0" borderId="0" xfId="0" applyNumberFormat="1" applyFont="1"/>
    <xf numFmtId="169" fontId="32" fillId="0" borderId="0" xfId="0" applyNumberFormat="1" applyFont="1"/>
    <xf numFmtId="178" fontId="32" fillId="0" borderId="0" xfId="1" applyNumberFormat="1" applyFont="1"/>
    <xf numFmtId="0" fontId="30" fillId="0" borderId="2" xfId="0" applyNumberFormat="1" applyFont="1" applyBorder="1"/>
    <xf numFmtId="0" fontId="52" fillId="0" borderId="0" xfId="0" applyNumberFormat="1" applyFont="1"/>
    <xf numFmtId="178" fontId="32" fillId="0" borderId="0" xfId="0" applyNumberFormat="1" applyFont="1" applyFill="1"/>
    <xf numFmtId="178" fontId="32" fillId="0" borderId="0" xfId="0" applyNumberFormat="1" applyFont="1"/>
    <xf numFmtId="165" fontId="33" fillId="0" borderId="0" xfId="0" applyNumberFormat="1" applyFont="1" applyFill="1"/>
    <xf numFmtId="165" fontId="30" fillId="0" borderId="0" xfId="1" applyNumberFormat="1" applyFont="1" applyFill="1"/>
    <xf numFmtId="165" fontId="30" fillId="0" borderId="0" xfId="1" applyNumberFormat="1" applyFont="1"/>
    <xf numFmtId="43" fontId="30" fillId="0" borderId="0" xfId="0" applyNumberFormat="1" applyFont="1"/>
    <xf numFmtId="37" fontId="51" fillId="0" borderId="13" xfId="0" applyNumberFormat="1" applyFont="1" applyBorder="1"/>
    <xf numFmtId="178" fontId="30" fillId="0" borderId="0" xfId="0" applyNumberFormat="1" applyFont="1" applyFill="1"/>
    <xf numFmtId="37" fontId="52" fillId="0" borderId="0" xfId="0" applyNumberFormat="1" applyFont="1" applyFill="1"/>
    <xf numFmtId="39" fontId="50" fillId="0" borderId="0" xfId="0" applyNumberFormat="1" applyFont="1" applyFill="1" applyBorder="1"/>
    <xf numFmtId="179" fontId="30" fillId="0" borderId="0" xfId="2" applyNumberFormat="1" applyFont="1" applyFill="1" applyBorder="1"/>
    <xf numFmtId="179" fontId="50" fillId="0" borderId="0" xfId="2" applyNumberFormat="1" applyFont="1" applyFill="1" applyBorder="1"/>
    <xf numFmtId="179" fontId="53" fillId="0" borderId="0" xfId="2" applyNumberFormat="1" applyFont="1" applyFill="1"/>
    <xf numFmtId="178" fontId="54" fillId="0" borderId="0" xfId="1" applyNumberFormat="1" applyFont="1"/>
    <xf numFmtId="39" fontId="32" fillId="0" borderId="0" xfId="0" applyNumberFormat="1" applyFont="1" applyFill="1"/>
    <xf numFmtId="169" fontId="32" fillId="0" borderId="0" xfId="0" applyNumberFormat="1" applyFont="1" applyFill="1"/>
    <xf numFmtId="39" fontId="53" fillId="0" borderId="0" xfId="0" applyNumberFormat="1" applyFont="1" applyFill="1"/>
    <xf numFmtId="179" fontId="32" fillId="0" borderId="0" xfId="2" applyNumberFormat="1" applyFont="1" applyFill="1"/>
    <xf numFmtId="37" fontId="30" fillId="0" borderId="5" xfId="0" applyNumberFormat="1" applyFont="1" applyBorder="1"/>
    <xf numFmtId="39" fontId="30" fillId="0" borderId="5" xfId="0" applyNumberFormat="1" applyFont="1" applyBorder="1"/>
    <xf numFmtId="169" fontId="30" fillId="0" borderId="5" xfId="0" applyNumberFormat="1" applyFont="1" applyBorder="1"/>
    <xf numFmtId="165" fontId="30" fillId="0" borderId="5" xfId="0" applyNumberFormat="1" applyFont="1" applyBorder="1"/>
    <xf numFmtId="178" fontId="30" fillId="0" borderId="3" xfId="0" applyNumberFormat="1" applyFont="1" applyBorder="1"/>
    <xf numFmtId="178" fontId="54" fillId="0" borderId="0" xfId="0" applyNumberFormat="1" applyFont="1" applyBorder="1"/>
    <xf numFmtId="178" fontId="54" fillId="0" borderId="3" xfId="0" applyNumberFormat="1" applyFont="1" applyBorder="1"/>
    <xf numFmtId="0" fontId="29" fillId="0" borderId="10" xfId="0" applyFont="1" applyBorder="1"/>
    <xf numFmtId="178" fontId="30" fillId="0" borderId="5" xfId="0" applyNumberFormat="1" applyFont="1" applyBorder="1"/>
    <xf numFmtId="178" fontId="30" fillId="0" borderId="6" xfId="0" applyNumberFormat="1" applyFont="1" applyBorder="1"/>
    <xf numFmtId="37" fontId="30" fillId="0" borderId="7" xfId="0" applyNumberFormat="1" applyFont="1" applyBorder="1"/>
    <xf numFmtId="37" fontId="30" fillId="0" borderId="1" xfId="0" applyNumberFormat="1" applyFont="1" applyBorder="1"/>
    <xf numFmtId="178" fontId="30" fillId="0" borderId="1" xfId="0" applyNumberFormat="1" applyFont="1" applyBorder="1"/>
    <xf numFmtId="178" fontId="30" fillId="0" borderId="9" xfId="0" applyNumberFormat="1" applyFont="1" applyBorder="1"/>
    <xf numFmtId="39" fontId="30" fillId="0" borderId="1" xfId="0" applyNumberFormat="1" applyFont="1" applyBorder="1"/>
    <xf numFmtId="169" fontId="30" fillId="0" borderId="1" xfId="0" applyNumberFormat="1" applyFont="1" applyBorder="1"/>
    <xf numFmtId="165" fontId="30" fillId="0" borderId="1" xfId="0" applyNumberFormat="1" applyFont="1" applyBorder="1"/>
    <xf numFmtId="0" fontId="30" fillId="6" borderId="10" xfId="0" applyFont="1" applyFill="1" applyBorder="1"/>
    <xf numFmtId="37" fontId="30" fillId="6" borderId="5" xfId="0" applyNumberFormat="1" applyFont="1" applyFill="1" applyBorder="1"/>
    <xf numFmtId="0" fontId="30" fillId="6" borderId="5" xfId="0" applyFont="1" applyFill="1" applyBorder="1"/>
    <xf numFmtId="39" fontId="30" fillId="6" borderId="5" xfId="0" applyNumberFormat="1" applyFont="1" applyFill="1" applyBorder="1"/>
    <xf numFmtId="169" fontId="30" fillId="6" borderId="5" xfId="0" applyNumberFormat="1" applyFont="1" applyFill="1" applyBorder="1"/>
    <xf numFmtId="165" fontId="30" fillId="6" borderId="5" xfId="0" applyNumberFormat="1" applyFont="1" applyFill="1" applyBorder="1"/>
    <xf numFmtId="0" fontId="30" fillId="6" borderId="6" xfId="0" applyFont="1" applyFill="1" applyBorder="1"/>
    <xf numFmtId="0" fontId="30" fillId="6" borderId="7" xfId="0" applyFont="1" applyFill="1" applyBorder="1"/>
    <xf numFmtId="37" fontId="30" fillId="6" borderId="0" xfId="0" applyNumberFormat="1" applyFont="1" applyFill="1" applyBorder="1"/>
    <xf numFmtId="178" fontId="48" fillId="6" borderId="0" xfId="0" applyNumberFormat="1" applyFont="1" applyFill="1" applyBorder="1"/>
    <xf numFmtId="178" fontId="30" fillId="6" borderId="3" xfId="0" applyNumberFormat="1" applyFont="1" applyFill="1" applyBorder="1"/>
    <xf numFmtId="178" fontId="55" fillId="6" borderId="0" xfId="0" applyNumberFormat="1" applyFont="1" applyFill="1" applyBorder="1"/>
    <xf numFmtId="178" fontId="54" fillId="6" borderId="3" xfId="0" applyNumberFormat="1" applyFont="1" applyFill="1" applyBorder="1"/>
    <xf numFmtId="178" fontId="30" fillId="6" borderId="0" xfId="0" applyNumberFormat="1" applyFont="1" applyFill="1" applyBorder="1"/>
    <xf numFmtId="39" fontId="30" fillId="6" borderId="0" xfId="0" applyNumberFormat="1" applyFont="1" applyFill="1" applyBorder="1"/>
    <xf numFmtId="169" fontId="30" fillId="6" borderId="0" xfId="0" applyNumberFormat="1" applyFont="1" applyFill="1" applyBorder="1"/>
    <xf numFmtId="165" fontId="30" fillId="6" borderId="0" xfId="0" applyNumberFormat="1" applyFont="1" applyFill="1" applyBorder="1"/>
    <xf numFmtId="0" fontId="30" fillId="6" borderId="3" xfId="0" applyFont="1" applyFill="1" applyBorder="1"/>
    <xf numFmtId="0" fontId="30" fillId="6" borderId="8" xfId="0" applyFont="1" applyFill="1" applyBorder="1"/>
    <xf numFmtId="37" fontId="30" fillId="6" borderId="1" xfId="0" applyNumberFormat="1" applyFont="1" applyFill="1" applyBorder="1"/>
    <xf numFmtId="178" fontId="30" fillId="6" borderId="1" xfId="0" applyNumberFormat="1" applyFont="1" applyFill="1" applyBorder="1"/>
    <xf numFmtId="178" fontId="30" fillId="6" borderId="9" xfId="0" applyNumberFormat="1" applyFont="1" applyFill="1" applyBorder="1"/>
    <xf numFmtId="0" fontId="56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164" fontId="29" fillId="0" borderId="0" xfId="0" applyNumberFormat="1" applyFont="1" applyFill="1" applyBorder="1" applyAlignment="1" applyProtection="1">
      <alignment horizontal="right"/>
    </xf>
    <xf numFmtId="49" fontId="35" fillId="0" borderId="0" xfId="0" applyNumberFormat="1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39" fontId="29" fillId="0" borderId="0" xfId="0" applyNumberFormat="1" applyFont="1" applyBorder="1" applyAlignment="1">
      <alignment horizontal="center"/>
    </xf>
    <xf numFmtId="169" fontId="29" fillId="0" borderId="0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29" fillId="0" borderId="0" xfId="0" applyFont="1" applyFill="1" applyBorder="1" applyAlignment="1" applyProtection="1">
      <alignment horizontal="right"/>
      <protection locked="0"/>
    </xf>
    <xf numFmtId="176" fontId="31" fillId="0" borderId="0" xfId="0" applyNumberFormat="1" applyFont="1" applyFill="1" applyBorder="1" applyAlignment="1">
      <alignment horizontal="center"/>
    </xf>
    <xf numFmtId="37" fontId="29" fillId="0" borderId="0" xfId="0" quotePrefix="1" applyNumberFormat="1" applyFont="1" applyBorder="1" applyAlignment="1">
      <alignment horizontal="center"/>
    </xf>
    <xf numFmtId="165" fontId="29" fillId="0" borderId="0" xfId="0" quotePrefix="1" applyNumberFormat="1" applyFont="1" applyBorder="1" applyAlignment="1">
      <alignment horizontal="center"/>
    </xf>
    <xf numFmtId="39" fontId="29" fillId="0" borderId="0" xfId="0" quotePrefix="1" applyNumberFormat="1" applyFont="1" applyBorder="1" applyAlignment="1">
      <alignment horizontal="center"/>
    </xf>
    <xf numFmtId="172" fontId="30" fillId="0" borderId="0" xfId="0" applyNumberFormat="1" applyFont="1" applyFill="1" applyBorder="1"/>
    <xf numFmtId="0" fontId="32" fillId="0" borderId="0" xfId="0" applyFont="1" applyFill="1" applyAlignment="1">
      <alignment horizontal="center"/>
    </xf>
    <xf numFmtId="172" fontId="33" fillId="0" borderId="0" xfId="0" applyNumberFormat="1" applyFont="1" applyFill="1" applyBorder="1" applyAlignment="1">
      <alignment horizontal="right"/>
    </xf>
    <xf numFmtId="172" fontId="30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Protection="1">
      <protection locked="0"/>
    </xf>
    <xf numFmtId="172" fontId="50" fillId="0" borderId="0" xfId="0" applyNumberFormat="1" applyFont="1" applyFill="1" applyProtection="1">
      <protection locked="0"/>
    </xf>
    <xf numFmtId="172" fontId="30" fillId="0" borderId="0" xfId="0" applyNumberFormat="1" applyFont="1" applyFill="1" applyProtection="1"/>
    <xf numFmtId="165" fontId="50" fillId="0" borderId="0" xfId="0" applyNumberFormat="1" applyFont="1" applyFill="1"/>
    <xf numFmtId="177" fontId="54" fillId="0" borderId="0" xfId="1" applyNumberFormat="1" applyFont="1" applyFill="1" applyBorder="1"/>
    <xf numFmtId="170" fontId="30" fillId="0" borderId="0" xfId="1" applyNumberFormat="1" applyFont="1" applyFill="1" applyBorder="1"/>
    <xf numFmtId="170" fontId="30" fillId="0" borderId="0" xfId="0" applyNumberFormat="1" applyFont="1" applyFill="1" applyBorder="1" applyProtection="1">
      <protection locked="0"/>
    </xf>
    <xf numFmtId="165" fontId="30" fillId="0" borderId="0" xfId="0" applyNumberFormat="1" applyFont="1" applyFill="1" applyBorder="1" applyProtection="1"/>
    <xf numFmtId="37" fontId="30" fillId="0" borderId="0" xfId="0" applyNumberFormat="1" applyFont="1" applyFill="1" applyBorder="1" applyProtection="1"/>
    <xf numFmtId="172" fontId="30" fillId="0" borderId="0" xfId="0" applyNumberFormat="1" applyFont="1" applyBorder="1"/>
    <xf numFmtId="43" fontId="30" fillId="0" borderId="0" xfId="1" applyFont="1" applyFill="1" applyBorder="1"/>
    <xf numFmtId="39" fontId="30" fillId="0" borderId="0" xfId="0" applyNumberFormat="1" applyFont="1" applyFill="1" applyBorder="1" applyProtection="1">
      <protection locked="0"/>
    </xf>
    <xf numFmtId="0" fontId="50" fillId="0" borderId="0" xfId="0" applyFont="1" applyFill="1" applyBorder="1"/>
    <xf numFmtId="172" fontId="50" fillId="0" borderId="0" xfId="0" applyNumberFormat="1" applyFont="1" applyFill="1" applyBorder="1" applyProtection="1">
      <protection locked="0"/>
    </xf>
    <xf numFmtId="172" fontId="30" fillId="0" borderId="0" xfId="0" applyNumberFormat="1" applyFont="1" applyFill="1" applyBorder="1" applyProtection="1"/>
    <xf numFmtId="165" fontId="50" fillId="0" borderId="0" xfId="0" applyNumberFormat="1" applyFont="1" applyFill="1" applyBorder="1"/>
    <xf numFmtId="172" fontId="30" fillId="0" borderId="0" xfId="0" applyNumberFormat="1" applyFont="1" applyFill="1" applyBorder="1" applyProtection="1">
      <protection locked="0"/>
    </xf>
    <xf numFmtId="167" fontId="30" fillId="0" borderId="0" xfId="0" applyNumberFormat="1" applyFont="1" applyFill="1" applyBorder="1" applyProtection="1"/>
    <xf numFmtId="0" fontId="30" fillId="0" borderId="0" xfId="0" applyFont="1" applyFill="1" applyBorder="1" applyAlignment="1">
      <alignment horizontal="center"/>
    </xf>
    <xf numFmtId="170" fontId="30" fillId="0" borderId="0" xfId="2" applyNumberFormat="1" applyFont="1" applyFill="1" applyBorder="1" applyProtection="1">
      <protection locked="0"/>
    </xf>
    <xf numFmtId="165" fontId="50" fillId="0" borderId="0" xfId="0" applyNumberFormat="1" applyFont="1" applyFill="1" applyProtection="1">
      <protection locked="0"/>
    </xf>
    <xf numFmtId="165" fontId="32" fillId="0" borderId="0" xfId="0" applyNumberFormat="1" applyFont="1" applyFill="1" applyBorder="1" applyProtection="1">
      <protection locked="0"/>
    </xf>
    <xf numFmtId="37" fontId="32" fillId="0" borderId="0" xfId="0" applyNumberFormat="1" applyFont="1" applyFill="1" applyBorder="1" applyProtection="1"/>
    <xf numFmtId="165" fontId="53" fillId="0" borderId="0" xfId="0" applyNumberFormat="1" applyFont="1" applyFill="1"/>
    <xf numFmtId="165" fontId="57" fillId="0" borderId="0" xfId="0" applyNumberFormat="1" applyFont="1" applyFill="1" applyProtection="1">
      <protection locked="0"/>
    </xf>
    <xf numFmtId="0" fontId="30" fillId="0" borderId="0" xfId="0" applyFont="1" applyFill="1" applyAlignment="1">
      <alignment horizontal="left"/>
    </xf>
    <xf numFmtId="39" fontId="30" fillId="0" borderId="0" xfId="0" applyNumberFormat="1" applyFont="1" applyFill="1" applyBorder="1" applyProtection="1"/>
    <xf numFmtId="165" fontId="30" fillId="0" borderId="0" xfId="0" applyNumberFormat="1" applyFont="1" applyFill="1" applyProtection="1"/>
    <xf numFmtId="165" fontId="29" fillId="0" borderId="0" xfId="0" applyNumberFormat="1" applyFont="1" applyFill="1" applyBorder="1" applyProtection="1"/>
    <xf numFmtId="165" fontId="29" fillId="0" borderId="0" xfId="0" applyNumberFormat="1" applyFont="1" applyFill="1" applyBorder="1" applyAlignment="1" applyProtection="1">
      <alignment horizontal="center"/>
    </xf>
    <xf numFmtId="165" fontId="31" fillId="0" borderId="0" xfId="0" applyNumberFormat="1" applyFont="1" applyFill="1" applyBorder="1" applyAlignment="1" applyProtection="1">
      <alignment horizontal="center"/>
    </xf>
    <xf numFmtId="167" fontId="50" fillId="0" borderId="0" xfId="0" applyNumberFormat="1" applyFont="1" applyFill="1" applyBorder="1" applyProtection="1">
      <protection locked="0"/>
    </xf>
    <xf numFmtId="165" fontId="50" fillId="0" borderId="0" xfId="0" applyNumberFormat="1" applyFont="1" applyFill="1" applyBorder="1" applyProtection="1">
      <protection locked="0"/>
    </xf>
    <xf numFmtId="165" fontId="57" fillId="0" borderId="0" xfId="0" applyNumberFormat="1" applyFont="1" applyFill="1" applyBorder="1" applyProtection="1">
      <protection locked="0"/>
    </xf>
    <xf numFmtId="39" fontId="50" fillId="0" borderId="0" xfId="0" applyNumberFormat="1" applyFont="1" applyFill="1" applyBorder="1" applyProtection="1">
      <protection locked="0"/>
    </xf>
    <xf numFmtId="165" fontId="53" fillId="0" borderId="0" xfId="0" applyNumberFormat="1" applyFont="1" applyFill="1" applyBorder="1" applyProtection="1">
      <protection locked="0"/>
    </xf>
    <xf numFmtId="165" fontId="53" fillId="0" borderId="0" xfId="0" applyNumberFormat="1" applyFont="1" applyFill="1" applyProtection="1">
      <protection locked="0"/>
    </xf>
    <xf numFmtId="166" fontId="50" fillId="0" borderId="0" xfId="0" applyNumberFormat="1" applyFont="1" applyFill="1" applyBorder="1" applyProtection="1">
      <protection locked="0"/>
    </xf>
    <xf numFmtId="166" fontId="30" fillId="0" borderId="0" xfId="0" applyNumberFormat="1" applyFont="1" applyFill="1" applyBorder="1" applyProtection="1"/>
    <xf numFmtId="165" fontId="32" fillId="0" borderId="0" xfId="0" applyNumberFormat="1" applyFont="1" applyFill="1" applyBorder="1"/>
    <xf numFmtId="0" fontId="31" fillId="0" borderId="0" xfId="0" applyFont="1" applyFill="1" applyBorder="1"/>
    <xf numFmtId="3" fontId="30" fillId="0" borderId="0" xfId="0" applyNumberFormat="1" applyFont="1" applyFill="1" applyBorder="1" applyProtection="1"/>
    <xf numFmtId="0" fontId="32" fillId="0" borderId="0" xfId="0" applyFont="1" applyFill="1" applyBorder="1"/>
    <xf numFmtId="3" fontId="30" fillId="0" borderId="0" xfId="0" applyNumberFormat="1" applyFont="1" applyFill="1" applyBorder="1"/>
    <xf numFmtId="3" fontId="32" fillId="0" borderId="0" xfId="0" applyNumberFormat="1" applyFont="1" applyFill="1" applyBorder="1" applyProtection="1"/>
    <xf numFmtId="37" fontId="50" fillId="0" borderId="0" xfId="0" applyNumberFormat="1" applyFont="1" applyFill="1" applyBorder="1" applyProtection="1"/>
    <xf numFmtId="37" fontId="50" fillId="0" borderId="0" xfId="0" applyNumberFormat="1" applyFont="1" applyFill="1" applyBorder="1" applyProtection="1">
      <protection locked="0"/>
    </xf>
    <xf numFmtId="0" fontId="32" fillId="0" borderId="0" xfId="0" applyFont="1" applyFill="1" applyBorder="1" applyAlignment="1">
      <alignment horizontal="center"/>
    </xf>
    <xf numFmtId="169" fontId="50" fillId="0" borderId="0" xfId="0" applyNumberFormat="1" applyFont="1" applyFill="1" applyBorder="1"/>
    <xf numFmtId="164" fontId="29" fillId="0" borderId="0" xfId="0" applyNumberFormat="1" applyFont="1" applyFill="1" applyAlignment="1" applyProtection="1">
      <alignment horizontal="right"/>
    </xf>
    <xf numFmtId="0" fontId="29" fillId="0" borderId="0" xfId="0" applyFont="1" applyFill="1" applyAlignment="1" applyProtection="1">
      <alignment horizontal="right"/>
      <protection locked="0"/>
    </xf>
    <xf numFmtId="49" fontId="35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quotePrefix="1" applyFont="1" applyFill="1" applyBorder="1" applyAlignment="1">
      <alignment horizontal="center"/>
    </xf>
    <xf numFmtId="178" fontId="33" fillId="0" borderId="0" xfId="1" applyNumberFormat="1" applyFont="1" applyFill="1" applyBorder="1"/>
    <xf numFmtId="178" fontId="30" fillId="0" borderId="0" xfId="1" applyNumberFormat="1" applyFont="1" applyBorder="1"/>
    <xf numFmtId="37" fontId="33" fillId="0" borderId="0" xfId="0" applyNumberFormat="1" applyFont="1" applyFill="1" applyBorder="1"/>
    <xf numFmtId="37" fontId="36" fillId="0" borderId="0" xfId="0" applyNumberFormat="1" applyFont="1" applyFill="1" applyBorder="1"/>
    <xf numFmtId="177" fontId="33" fillId="0" borderId="0" xfId="1" applyNumberFormat="1" applyFont="1" applyFill="1" applyBorder="1"/>
    <xf numFmtId="177" fontId="33" fillId="0" borderId="0" xfId="1" applyNumberFormat="1" applyFont="1" applyBorder="1"/>
    <xf numFmtId="177" fontId="30" fillId="0" borderId="0" xfId="1" applyNumberFormat="1" applyFont="1" applyBorder="1"/>
    <xf numFmtId="0" fontId="29" fillId="0" borderId="0" xfId="0" quotePrefix="1" applyFont="1" applyFill="1" applyBorder="1" applyAlignment="1">
      <alignment horizontal="center"/>
    </xf>
    <xf numFmtId="165" fontId="30" fillId="0" borderId="0" xfId="0" quotePrefix="1" applyNumberFormat="1" applyFont="1" applyBorder="1" applyAlignment="1">
      <alignment horizontal="left"/>
    </xf>
    <xf numFmtId="39" fontId="30" fillId="0" borderId="0" xfId="0" quotePrefix="1" applyNumberFormat="1" applyFont="1" applyBorder="1" applyAlignment="1">
      <alignment horizontal="left"/>
    </xf>
    <xf numFmtId="165" fontId="29" fillId="0" borderId="0" xfId="0" quotePrefix="1" applyNumberFormat="1" applyFont="1" applyFill="1" applyBorder="1" applyAlignment="1">
      <alignment horizontal="center"/>
    </xf>
    <xf numFmtId="39" fontId="29" fillId="0" borderId="0" xfId="0" quotePrefix="1" applyNumberFormat="1" applyFont="1" applyFill="1" applyBorder="1" applyAlignment="1">
      <alignment horizontal="center"/>
    </xf>
    <xf numFmtId="0" fontId="29" fillId="0" borderId="0" xfId="0" quotePrefix="1" applyFont="1" applyBorder="1" applyAlignment="1">
      <alignment horizontal="left"/>
    </xf>
    <xf numFmtId="49" fontId="29" fillId="0" borderId="0" xfId="0" applyNumberFormat="1" applyFont="1" applyBorder="1" applyAlignment="1">
      <alignment horizontal="left"/>
    </xf>
    <xf numFmtId="37" fontId="29" fillId="0" borderId="0" xfId="0" applyNumberFormat="1" applyFont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0" fontId="29" fillId="0" borderId="0" xfId="0" quotePrefix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9" fillId="0" borderId="5" xfId="0" applyFont="1" applyBorder="1"/>
    <xf numFmtId="37" fontId="50" fillId="0" borderId="5" xfId="0" applyNumberFormat="1" applyFont="1" applyFill="1" applyBorder="1"/>
    <xf numFmtId="37" fontId="30" fillId="0" borderId="5" xfId="0" applyNumberFormat="1" applyFont="1" applyFill="1" applyBorder="1"/>
    <xf numFmtId="0" fontId="30" fillId="0" borderId="7" xfId="0" applyFont="1" applyBorder="1" applyAlignment="1">
      <alignment horizontal="center"/>
    </xf>
    <xf numFmtId="37" fontId="50" fillId="0" borderId="0" xfId="0" applyNumberFormat="1" applyFont="1" applyFill="1" applyBorder="1"/>
    <xf numFmtId="178" fontId="30" fillId="0" borderId="3" xfId="1" applyNumberFormat="1" applyFont="1" applyBorder="1"/>
    <xf numFmtId="37" fontId="30" fillId="0" borderId="3" xfId="0" applyNumberFormat="1" applyFont="1" applyFill="1" applyBorder="1"/>
    <xf numFmtId="178" fontId="54" fillId="0" borderId="0" xfId="1" applyNumberFormat="1" applyFont="1" applyFill="1" applyBorder="1"/>
    <xf numFmtId="37" fontId="54" fillId="0" borderId="3" xfId="0" applyNumberFormat="1" applyFont="1" applyFill="1" applyBorder="1"/>
    <xf numFmtId="37" fontId="32" fillId="0" borderId="3" xfId="0" applyNumberFormat="1" applyFont="1" applyFill="1" applyBorder="1"/>
    <xf numFmtId="37" fontId="32" fillId="0" borderId="0" xfId="0" applyNumberFormat="1" applyFont="1" applyBorder="1" applyProtection="1"/>
    <xf numFmtId="0" fontId="30" fillId="0" borderId="8" xfId="0" applyFont="1" applyBorder="1" applyAlignment="1">
      <alignment horizontal="center"/>
    </xf>
    <xf numFmtId="0" fontId="30" fillId="0" borderId="1" xfId="0" quotePrefix="1" applyFont="1" applyBorder="1" applyAlignment="1">
      <alignment horizontal="left"/>
    </xf>
    <xf numFmtId="0" fontId="30" fillId="0" borderId="1" xfId="0" quotePrefix="1" applyFont="1" applyFill="1" applyBorder="1" applyAlignment="1">
      <alignment horizontal="center"/>
    </xf>
    <xf numFmtId="178" fontId="30" fillId="0" borderId="1" xfId="1" applyNumberFormat="1" applyFont="1" applyFill="1" applyBorder="1"/>
    <xf numFmtId="178" fontId="30" fillId="0" borderId="9" xfId="1" applyNumberFormat="1" applyFont="1" applyBorder="1"/>
    <xf numFmtId="0" fontId="30" fillId="0" borderId="0" xfId="0" quotePrefix="1" applyFont="1" applyFill="1" applyBorder="1" applyAlignment="1">
      <alignment horizontal="left"/>
    </xf>
    <xf numFmtId="37" fontId="29" fillId="0" borderId="0" xfId="0" applyNumberFormat="1" applyFont="1" applyFill="1" applyBorder="1"/>
    <xf numFmtId="37" fontId="49" fillId="0" borderId="0" xfId="0" applyNumberFormat="1" applyFont="1" applyFill="1" applyBorder="1"/>
    <xf numFmtId="37" fontId="54" fillId="0" borderId="0" xfId="0" applyNumberFormat="1" applyFont="1" applyFill="1" applyBorder="1"/>
    <xf numFmtId="0" fontId="29" fillId="5" borderId="10" xfId="0" applyFont="1" applyFill="1" applyBorder="1" applyAlignment="1"/>
    <xf numFmtId="0" fontId="29" fillId="5" borderId="5" xfId="0" applyFont="1" applyFill="1" applyBorder="1" applyAlignment="1">
      <alignment horizontal="center"/>
    </xf>
    <xf numFmtId="0" fontId="30" fillId="5" borderId="5" xfId="0" applyFont="1" applyFill="1" applyBorder="1" applyAlignment="1">
      <alignment horizontal="center"/>
    </xf>
    <xf numFmtId="165" fontId="30" fillId="5" borderId="6" xfId="0" applyNumberFormat="1" applyFont="1" applyFill="1" applyBorder="1"/>
    <xf numFmtId="0" fontId="30" fillId="5" borderId="7" xfId="0" applyFont="1" applyFill="1" applyBorder="1" applyAlignment="1">
      <alignment horizontal="center"/>
    </xf>
    <xf numFmtId="0" fontId="30" fillId="5" borderId="0" xfId="0" quotePrefix="1" applyFont="1" applyFill="1" applyBorder="1" applyAlignment="1">
      <alignment horizontal="center"/>
    </xf>
    <xf numFmtId="165" fontId="30" fillId="5" borderId="3" xfId="0" quotePrefix="1" applyNumberFormat="1" applyFont="1" applyFill="1" applyBorder="1" applyAlignment="1">
      <alignment horizontal="center"/>
    </xf>
    <xf numFmtId="0" fontId="30" fillId="5" borderId="7" xfId="0" quotePrefix="1" applyFont="1" applyFill="1" applyBorder="1" applyAlignment="1"/>
    <xf numFmtId="185" fontId="30" fillId="5" borderId="0" xfId="0" quotePrefix="1" applyNumberFormat="1" applyFont="1" applyFill="1" applyBorder="1" applyAlignment="1">
      <alignment horizontal="right"/>
    </xf>
    <xf numFmtId="185" fontId="33" fillId="5" borderId="0" xfId="1" quotePrefix="1" applyNumberFormat="1" applyFont="1" applyFill="1" applyBorder="1" applyAlignment="1">
      <alignment horizontal="right"/>
    </xf>
    <xf numFmtId="185" fontId="30" fillId="5" borderId="3" xfId="0" quotePrefix="1" applyNumberFormat="1" applyFont="1" applyFill="1" applyBorder="1" applyAlignment="1">
      <alignment horizontal="right"/>
    </xf>
    <xf numFmtId="0" fontId="30" fillId="5" borderId="7" xfId="0" applyFont="1" applyFill="1" applyBorder="1"/>
    <xf numFmtId="185" fontId="32" fillId="5" borderId="0" xfId="0" quotePrefix="1" applyNumberFormat="1" applyFont="1" applyFill="1" applyBorder="1" applyAlignment="1">
      <alignment horizontal="right"/>
    </xf>
    <xf numFmtId="185" fontId="36" fillId="5" borderId="0" xfId="1" quotePrefix="1" applyNumberFormat="1" applyFont="1" applyFill="1" applyBorder="1" applyAlignment="1">
      <alignment horizontal="right"/>
    </xf>
    <xf numFmtId="185" fontId="54" fillId="5" borderId="3" xfId="0" quotePrefix="1" applyNumberFormat="1" applyFont="1" applyFill="1" applyBorder="1" applyAlignment="1">
      <alignment horizontal="right"/>
    </xf>
    <xf numFmtId="0" fontId="30" fillId="5" borderId="8" xfId="0" applyFont="1" applyFill="1" applyBorder="1"/>
    <xf numFmtId="185" fontId="30" fillId="5" borderId="1" xfId="1" applyNumberFormat="1" applyFont="1" applyFill="1" applyBorder="1"/>
    <xf numFmtId="185" fontId="30" fillId="5" borderId="9" xfId="1" applyNumberFormat="1" applyFont="1" applyFill="1" applyBorder="1"/>
    <xf numFmtId="0" fontId="35" fillId="0" borderId="0" xfId="0" quotePrefix="1" applyFont="1" applyFill="1" applyBorder="1" applyAlignment="1">
      <alignment horizontal="left"/>
    </xf>
    <xf numFmtId="0" fontId="35" fillId="0" borderId="0" xfId="0" quotePrefix="1" applyFont="1" applyFill="1" applyBorder="1" applyAlignment="1">
      <alignment horizontal="center"/>
    </xf>
    <xf numFmtId="165" fontId="35" fillId="0" borderId="0" xfId="0" quotePrefix="1" applyNumberFormat="1" applyFont="1" applyFill="1" applyBorder="1" applyAlignment="1">
      <alignment horizontal="center"/>
    </xf>
    <xf numFmtId="0" fontId="33" fillId="0" borderId="0" xfId="0" applyFont="1" applyFill="1" applyBorder="1"/>
    <xf numFmtId="0" fontId="29" fillId="0" borderId="0" xfId="0" applyFont="1" applyFill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0" fontId="30" fillId="0" borderId="2" xfId="0" applyFont="1" applyFill="1" applyBorder="1" applyAlignment="1">
      <alignment horizontal="center"/>
    </xf>
    <xf numFmtId="0" fontId="33" fillId="0" borderId="0" xfId="0" applyFont="1" applyFill="1" applyAlignment="1">
      <alignment horizontal="left"/>
    </xf>
    <xf numFmtId="43" fontId="32" fillId="0" borderId="0" xfId="1" applyFont="1"/>
    <xf numFmtId="2" fontId="30" fillId="0" borderId="2" xfId="1" applyNumberFormat="1" applyFont="1" applyBorder="1"/>
    <xf numFmtId="0" fontId="30" fillId="0" borderId="13" xfId="0" applyFont="1" applyFill="1" applyBorder="1" applyAlignment="1">
      <alignment horizontal="center"/>
    </xf>
    <xf numFmtId="170" fontId="30" fillId="0" borderId="13" xfId="0" applyNumberFormat="1" applyFont="1" applyBorder="1"/>
    <xf numFmtId="170" fontId="30" fillId="0" borderId="13" xfId="1" applyNumberFormat="1" applyFont="1" applyBorder="1"/>
    <xf numFmtId="0" fontId="29" fillId="0" borderId="0" xfId="0" applyFont="1" applyFill="1" applyAlignment="1">
      <alignment horizontal="right"/>
    </xf>
    <xf numFmtId="37" fontId="29" fillId="0" borderId="0" xfId="0" applyNumberFormat="1" applyFont="1" applyFill="1" applyAlignment="1">
      <alignment horizontal="center"/>
    </xf>
    <xf numFmtId="39" fontId="29" fillId="0" borderId="0" xfId="0" applyNumberFormat="1" applyFont="1" applyFill="1" applyAlignment="1">
      <alignment horizontal="center"/>
    </xf>
    <xf numFmtId="169" fontId="29" fillId="0" borderId="0" xfId="0" quotePrefix="1" applyNumberFormat="1" applyFont="1" applyFill="1" applyAlignment="1">
      <alignment horizontal="center"/>
    </xf>
    <xf numFmtId="165" fontId="29" fillId="0" borderId="0" xfId="0" quotePrefix="1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39" fontId="29" fillId="0" borderId="0" xfId="0" quotePrefix="1" applyNumberFormat="1" applyFont="1" applyFill="1" applyAlignment="1">
      <alignment horizontal="center"/>
    </xf>
    <xf numFmtId="177" fontId="30" fillId="0" borderId="0" xfId="0" applyNumberFormat="1" applyFont="1" applyFill="1"/>
    <xf numFmtId="43" fontId="30" fillId="0" borderId="0" xfId="0" applyNumberFormat="1" applyFont="1" applyFill="1" applyBorder="1"/>
    <xf numFmtId="173" fontId="30" fillId="0" borderId="0" xfId="0" applyNumberFormat="1" applyFont="1" applyFill="1"/>
    <xf numFmtId="0" fontId="30" fillId="0" borderId="0" xfId="0" applyNumberFormat="1" applyFont="1" applyFill="1"/>
    <xf numFmtId="0" fontId="30" fillId="0" borderId="2" xfId="0" applyNumberFormat="1" applyFont="1" applyFill="1" applyBorder="1"/>
    <xf numFmtId="0" fontId="52" fillId="0" borderId="0" xfId="0" applyNumberFormat="1" applyFont="1" applyFill="1"/>
    <xf numFmtId="39" fontId="32" fillId="0" borderId="0" xfId="0" applyNumberFormat="1" applyFont="1" applyFill="1" applyBorder="1"/>
    <xf numFmtId="43" fontId="32" fillId="0" borderId="0" xfId="0" applyNumberFormat="1" applyFont="1" applyFill="1" applyBorder="1"/>
    <xf numFmtId="43" fontId="32" fillId="0" borderId="0" xfId="1" applyFont="1" applyFill="1"/>
    <xf numFmtId="170" fontId="33" fillId="0" borderId="0" xfId="0" applyNumberFormat="1" applyFont="1" applyFill="1"/>
    <xf numFmtId="170" fontId="30" fillId="0" borderId="0" xfId="0" applyNumberFormat="1" applyFont="1"/>
    <xf numFmtId="178" fontId="54" fillId="0" borderId="0" xfId="1" applyNumberFormat="1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quotePrefix="1" applyFont="1" applyAlignment="1">
      <alignment horizontal="center"/>
    </xf>
    <xf numFmtId="0" fontId="29" fillId="0" borderId="0" xfId="0" quotePrefix="1" applyFont="1" applyFill="1" applyAlignment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quotePrefix="1" applyFont="1" applyAlignment="1">
      <alignment horizontal="center"/>
    </xf>
    <xf numFmtId="5" fontId="33" fillId="0" borderId="0" xfId="0" applyNumberFormat="1" applyFont="1" applyFill="1" applyAlignment="1">
      <alignment horizontal="right"/>
    </xf>
    <xf numFmtId="5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0" fillId="6" borderId="15" xfId="0" applyFont="1" applyFill="1" applyBorder="1"/>
    <xf numFmtId="5" fontId="30" fillId="6" borderId="16" xfId="0" applyNumberFormat="1" applyFont="1" applyFill="1" applyBorder="1"/>
    <xf numFmtId="174" fontId="30" fillId="0" borderId="0" xfId="0" applyNumberFormat="1" applyFont="1" applyFill="1"/>
    <xf numFmtId="174" fontId="32" fillId="0" borderId="0" xfId="0" applyNumberFormat="1" applyFont="1" applyFill="1"/>
    <xf numFmtId="186" fontId="30" fillId="0" borderId="0" xfId="0" applyNumberFormat="1" applyFont="1"/>
    <xf numFmtId="37" fontId="30" fillId="0" borderId="0" xfId="4" applyNumberFormat="1" applyFont="1" applyFill="1"/>
    <xf numFmtId="37" fontId="33" fillId="0" borderId="0" xfId="4" applyNumberFormat="1" applyFont="1" applyFill="1"/>
    <xf numFmtId="37" fontId="30" fillId="0" borderId="0" xfId="1" applyNumberFormat="1" applyFont="1" applyFill="1"/>
    <xf numFmtId="10" fontId="30" fillId="0" borderId="0" xfId="0" applyNumberFormat="1" applyFont="1"/>
    <xf numFmtId="49" fontId="35" fillId="0" borderId="11" xfId="0" applyNumberFormat="1" applyFont="1" applyFill="1" applyBorder="1"/>
    <xf numFmtId="0" fontId="30" fillId="0" borderId="11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right"/>
    </xf>
    <xf numFmtId="37" fontId="33" fillId="0" borderId="0" xfId="0" applyNumberFormat="1" applyFont="1"/>
    <xf numFmtId="0" fontId="30" fillId="0" borderId="0" xfId="0" applyFont="1" applyAlignment="1">
      <alignment horizontal="right"/>
    </xf>
    <xf numFmtId="0" fontId="58" fillId="0" borderId="0" xfId="0" applyFont="1"/>
    <xf numFmtId="39" fontId="30" fillId="0" borderId="0" xfId="0" applyNumberFormat="1" applyFont="1" applyProtection="1"/>
    <xf numFmtId="37" fontId="30" fillId="0" borderId="0" xfId="0" applyNumberFormat="1" applyFont="1" applyProtection="1"/>
    <xf numFmtId="37" fontId="50" fillId="0" borderId="0" xfId="0" applyNumberFormat="1" applyFont="1" applyProtection="1">
      <protection locked="0"/>
    </xf>
    <xf numFmtId="37" fontId="32" fillId="0" borderId="0" xfId="0" applyNumberFormat="1" applyFont="1" applyProtection="1"/>
    <xf numFmtId="37" fontId="57" fillId="0" borderId="0" xfId="0" applyNumberFormat="1" applyFont="1" applyProtection="1">
      <protection locked="0"/>
    </xf>
    <xf numFmtId="39" fontId="50" fillId="0" borderId="0" xfId="0" applyNumberFormat="1" applyFont="1" applyProtection="1">
      <protection locked="0"/>
    </xf>
    <xf numFmtId="37" fontId="30" fillId="0" borderId="0" xfId="0" applyNumberFormat="1" applyFont="1" applyAlignment="1" applyProtection="1">
      <alignment horizontal="right"/>
    </xf>
    <xf numFmtId="37" fontId="29" fillId="0" borderId="0" xfId="0" applyNumberFormat="1" applyFont="1" applyAlignment="1" applyProtection="1">
      <alignment horizontal="center"/>
    </xf>
    <xf numFmtId="37" fontId="36" fillId="0" borderId="0" xfId="0" applyNumberFormat="1" applyFont="1"/>
    <xf numFmtId="165" fontId="30" fillId="0" borderId="0" xfId="0" applyNumberFormat="1" applyFont="1" applyProtection="1"/>
    <xf numFmtId="37" fontId="33" fillId="0" borderId="0" xfId="0" applyNumberFormat="1" applyFont="1" applyProtection="1"/>
    <xf numFmtId="37" fontId="36" fillId="0" borderId="0" xfId="0" applyNumberFormat="1" applyFont="1" applyProtection="1"/>
    <xf numFmtId="37" fontId="29" fillId="0" borderId="0" xfId="0" applyNumberFormat="1" applyFont="1" applyProtection="1"/>
    <xf numFmtId="7" fontId="30" fillId="0" borderId="0" xfId="2" applyNumberFormat="1" applyFont="1" applyFill="1"/>
    <xf numFmtId="181" fontId="30" fillId="0" borderId="0" xfId="2" applyNumberFormat="1" applyFont="1" applyFill="1"/>
    <xf numFmtId="181" fontId="33" fillId="0" borderId="0" xfId="2" applyNumberFormat="1" applyFont="1" applyFill="1"/>
    <xf numFmtId="0" fontId="30" fillId="0" borderId="7" xfId="0" applyFont="1" applyBorder="1" applyAlignment="1">
      <alignment horizontal="right"/>
    </xf>
    <xf numFmtId="170" fontId="30" fillId="0" borderId="0" xfId="0" applyNumberFormat="1" applyFont="1" applyBorder="1"/>
    <xf numFmtId="170" fontId="30" fillId="0" borderId="0" xfId="1" applyNumberFormat="1" applyFont="1" applyBorder="1"/>
    <xf numFmtId="0" fontId="29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quotePrefix="1" applyFont="1" applyAlignment="1">
      <alignment horizontal="center"/>
    </xf>
    <xf numFmtId="165" fontId="29" fillId="0" borderId="0" xfId="0" applyNumberFormat="1" applyFont="1" applyAlignment="1">
      <alignment horizontal="center"/>
    </xf>
    <xf numFmtId="37" fontId="29" fillId="0" borderId="0" xfId="0" applyNumberFormat="1" applyFont="1" applyAlignment="1">
      <alignment horizontal="center"/>
    </xf>
    <xf numFmtId="0" fontId="29" fillId="0" borderId="0" xfId="0" quotePrefix="1" applyFont="1" applyFill="1" applyAlignment="1">
      <alignment horizontal="center"/>
    </xf>
    <xf numFmtId="42" fontId="10" fillId="0" borderId="0" xfId="2" quotePrefix="1" applyNumberFormat="1" applyFont="1" applyFill="1" applyAlignment="1"/>
    <xf numFmtId="5" fontId="30" fillId="0" borderId="0" xfId="0" applyNumberFormat="1" applyFont="1" applyProtection="1"/>
    <xf numFmtId="0" fontId="29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7" fillId="0" borderId="0" xfId="0" quotePrefix="1" applyFont="1" applyFill="1"/>
    <xf numFmtId="37" fontId="32" fillId="0" borderId="0" xfId="4" applyNumberFormat="1" applyFont="1" applyFill="1" applyBorder="1"/>
    <xf numFmtId="5" fontId="29" fillId="0" borderId="0" xfId="0" applyNumberFormat="1" applyFont="1" applyFill="1" applyBorder="1" applyProtection="1"/>
    <xf numFmtId="5" fontId="29" fillId="0" borderId="0" xfId="0" applyNumberFormat="1" applyFont="1" applyFill="1" applyBorder="1" applyAlignment="1" applyProtection="1">
      <alignment horizontal="right"/>
    </xf>
    <xf numFmtId="184" fontId="29" fillId="0" borderId="0" xfId="0" applyNumberFormat="1" applyFont="1" applyFill="1" applyBorder="1" applyAlignment="1" applyProtection="1">
      <alignment horizontal="right"/>
    </xf>
    <xf numFmtId="184" fontId="29" fillId="0" borderId="0" xfId="0" applyNumberFormat="1" applyFont="1" applyFill="1" applyBorder="1"/>
    <xf numFmtId="167" fontId="29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1" fillId="0" borderId="0" xfId="0" applyNumberFormat="1" applyFont="1" applyFill="1" applyAlignment="1">
      <alignment horizontal="right"/>
    </xf>
    <xf numFmtId="7" fontId="1" fillId="0" borderId="0" xfId="0" applyNumberFormat="1" applyFont="1" applyFill="1" applyAlignment="1">
      <alignment horizontal="right"/>
    </xf>
    <xf numFmtId="3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87" fontId="1" fillId="0" borderId="0" xfId="0" applyNumberFormat="1" applyFont="1" applyFill="1" applyAlignment="1">
      <alignment horizontal="right"/>
    </xf>
    <xf numFmtId="187" fontId="30" fillId="0" borderId="0" xfId="0" applyNumberFormat="1" applyFont="1"/>
    <xf numFmtId="18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39" fontId="1" fillId="0" borderId="0" xfId="0" applyNumberFormat="1" applyFont="1" applyFill="1"/>
    <xf numFmtId="165" fontId="1" fillId="0" borderId="0" xfId="0" applyNumberFormat="1" applyFont="1" applyFill="1"/>
    <xf numFmtId="39" fontId="25" fillId="0" borderId="0" xfId="1" applyNumberFormat="1" applyFont="1" applyFill="1"/>
    <xf numFmtId="39" fontId="1" fillId="0" borderId="0" xfId="1" applyNumberFormat="1" applyFont="1" applyFill="1"/>
    <xf numFmtId="43" fontId="1" fillId="0" borderId="0" xfId="1" applyNumberFormat="1" applyFont="1" applyFill="1"/>
    <xf numFmtId="188" fontId="25" fillId="0" borderId="0" xfId="1" applyNumberFormat="1" applyFont="1" applyFill="1"/>
    <xf numFmtId="188" fontId="1" fillId="0" borderId="0" xfId="1" applyNumberFormat="1" applyFont="1" applyFill="1"/>
    <xf numFmtId="167" fontId="1" fillId="0" borderId="0" xfId="1" applyNumberFormat="1" applyFont="1" applyFill="1"/>
    <xf numFmtId="39" fontId="60" fillId="0" borderId="0" xfId="1" applyNumberFormat="1" applyFont="1" applyFill="1"/>
    <xf numFmtId="39" fontId="1" fillId="0" borderId="0" xfId="1" applyNumberFormat="1" applyFont="1" applyFill="1" applyBorder="1"/>
    <xf numFmtId="39" fontId="1" fillId="0" borderId="12" xfId="1" applyNumberFormat="1" applyFont="1" applyFill="1" applyBorder="1"/>
    <xf numFmtId="189" fontId="1" fillId="0" borderId="0" xfId="1" applyNumberFormat="1" applyFont="1" applyFill="1"/>
    <xf numFmtId="167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1" fillId="0" borderId="11" xfId="1" applyNumberFormat="1" applyFont="1" applyFill="1" applyBorder="1"/>
    <xf numFmtId="39" fontId="1" fillId="0" borderId="13" xfId="1" applyNumberFormat="1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10" fontId="6" fillId="0" borderId="17" xfId="0" applyNumberFormat="1" applyFont="1" applyFill="1" applyBorder="1"/>
    <xf numFmtId="10" fontId="6" fillId="0" borderId="0" xfId="0" applyNumberFormat="1" applyFont="1" applyFill="1"/>
    <xf numFmtId="165" fontId="25" fillId="0" borderId="0" xfId="0" applyNumberFormat="1" applyFont="1" applyFill="1"/>
    <xf numFmtId="39" fontId="8" fillId="0" borderId="0" xfId="0" applyNumberFormat="1" applyFont="1" applyFill="1"/>
    <xf numFmtId="172" fontId="7" fillId="0" borderId="0" xfId="0" applyNumberFormat="1" applyFont="1" applyFill="1"/>
    <xf numFmtId="172" fontId="6" fillId="0" borderId="0" xfId="0" applyNumberFormat="1" applyFont="1" applyFill="1"/>
    <xf numFmtId="172" fontId="28" fillId="0" borderId="0" xfId="0" applyNumberFormat="1" applyFont="1" applyFill="1"/>
    <xf numFmtId="0" fontId="6" fillId="0" borderId="0" xfId="0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37" fontId="33" fillId="6" borderId="17" xfId="0" applyNumberFormat="1" applyFont="1" applyFill="1" applyBorder="1"/>
    <xf numFmtId="39" fontId="35" fillId="0" borderId="0" xfId="0" applyNumberFormat="1" applyFont="1" applyFill="1"/>
    <xf numFmtId="0" fontId="30" fillId="0" borderId="0" xfId="0" quotePrefix="1" applyFont="1" applyFill="1" applyAlignment="1">
      <alignment horizontal="left"/>
    </xf>
    <xf numFmtId="0" fontId="29" fillId="0" borderId="0" xfId="0" applyFont="1" applyFill="1" applyAlignment="1">
      <alignment horizontal="center"/>
    </xf>
    <xf numFmtId="10" fontId="30" fillId="0" borderId="0" xfId="0" applyNumberFormat="1" applyFont="1" applyFill="1"/>
    <xf numFmtId="37" fontId="36" fillId="0" borderId="0" xfId="4" applyNumberFormat="1" applyFont="1" applyFill="1" applyBorder="1"/>
    <xf numFmtId="0" fontId="29" fillId="0" borderId="0" xfId="0" quotePrefix="1" applyFont="1" applyAlignment="1">
      <alignment horizontal="center"/>
    </xf>
    <xf numFmtId="167" fontId="35" fillId="0" borderId="0" xfId="0" applyNumberFormat="1" applyFont="1" applyFill="1"/>
    <xf numFmtId="37" fontId="8" fillId="0" borderId="0" xfId="0" applyNumberFormat="1" applyFont="1"/>
    <xf numFmtId="0" fontId="29" fillId="0" borderId="0" xfId="0" applyFont="1" applyBorder="1" applyAlignment="1">
      <alignment horizontal="center"/>
    </xf>
    <xf numFmtId="0" fontId="30" fillId="6" borderId="10" xfId="0" applyFont="1" applyFill="1" applyBorder="1" applyAlignment="1">
      <alignment horizontal="center"/>
    </xf>
    <xf numFmtId="5" fontId="29" fillId="6" borderId="5" xfId="0" applyNumberFormat="1" applyFont="1" applyFill="1" applyBorder="1" applyProtection="1"/>
    <xf numFmtId="0" fontId="30" fillId="6" borderId="8" xfId="0" applyFont="1" applyFill="1" applyBorder="1" applyAlignment="1">
      <alignment horizontal="center"/>
    </xf>
    <xf numFmtId="0" fontId="30" fillId="6" borderId="1" xfId="0" applyFont="1" applyFill="1" applyBorder="1"/>
    <xf numFmtId="5" fontId="29" fillId="6" borderId="1" xfId="0" applyNumberFormat="1" applyFont="1" applyFill="1" applyBorder="1" applyProtection="1"/>
    <xf numFmtId="0" fontId="30" fillId="6" borderId="7" xfId="0" applyFont="1" applyFill="1" applyBorder="1" applyAlignment="1">
      <alignment horizontal="center"/>
    </xf>
    <xf numFmtId="0" fontId="30" fillId="6" borderId="0" xfId="0" applyFont="1" applyFill="1" applyBorder="1"/>
    <xf numFmtId="5" fontId="29" fillId="6" borderId="0" xfId="0" applyNumberFormat="1" applyFont="1" applyFill="1" applyBorder="1" applyProtection="1"/>
    <xf numFmtId="5" fontId="35" fillId="6" borderId="0" xfId="0" applyNumberFormat="1" applyFont="1" applyFill="1" applyBorder="1" applyAlignment="1" applyProtection="1">
      <alignment horizontal="right"/>
    </xf>
    <xf numFmtId="5" fontId="29" fillId="6" borderId="0" xfId="0" applyNumberFormat="1" applyFont="1" applyFill="1" applyBorder="1" applyAlignment="1" applyProtection="1">
      <alignment horizontal="right"/>
    </xf>
    <xf numFmtId="37" fontId="32" fillId="6" borderId="0" xfId="4" applyNumberFormat="1" applyFont="1" applyFill="1" applyBorder="1"/>
    <xf numFmtId="37" fontId="36" fillId="6" borderId="0" xfId="4" applyNumberFormat="1" applyFont="1" applyFill="1" applyBorder="1"/>
    <xf numFmtId="184" fontId="29" fillId="6" borderId="5" xfId="0" applyNumberFormat="1" applyFont="1" applyFill="1" applyBorder="1" applyAlignment="1" applyProtection="1">
      <alignment horizontal="right"/>
    </xf>
    <xf numFmtId="184" fontId="35" fillId="6" borderId="5" xfId="0" applyNumberFormat="1" applyFont="1" applyFill="1" applyBorder="1"/>
    <xf numFmtId="184" fontId="35" fillId="6" borderId="6" xfId="0" applyNumberFormat="1" applyFont="1" applyFill="1" applyBorder="1"/>
    <xf numFmtId="5" fontId="29" fillId="6" borderId="3" xfId="0" applyNumberFormat="1" applyFont="1" applyFill="1" applyBorder="1" applyAlignment="1" applyProtection="1">
      <alignment horizontal="right"/>
    </xf>
    <xf numFmtId="37" fontId="36" fillId="6" borderId="3" xfId="4" applyNumberFormat="1" applyFont="1" applyFill="1" applyBorder="1"/>
    <xf numFmtId="5" fontId="29" fillId="6" borderId="1" xfId="0" applyNumberFormat="1" applyFont="1" applyFill="1" applyBorder="1" applyAlignment="1" applyProtection="1">
      <alignment horizontal="right"/>
    </xf>
    <xf numFmtId="5" fontId="29" fillId="6" borderId="9" xfId="0" applyNumberFormat="1" applyFont="1" applyFill="1" applyBorder="1" applyAlignment="1" applyProtection="1">
      <alignment horizontal="right"/>
    </xf>
    <xf numFmtId="37" fontId="1" fillId="0" borderId="0" xfId="0" applyNumberFormat="1" applyFont="1" applyFill="1"/>
    <xf numFmtId="37" fontId="8" fillId="0" borderId="0" xfId="0" applyNumberFormat="1" applyFont="1" applyFill="1"/>
    <xf numFmtId="175" fontId="1" fillId="0" borderId="0" xfId="0" applyNumberFormat="1" applyFont="1" applyFill="1"/>
    <xf numFmtId="37" fontId="6" fillId="0" borderId="0" xfId="0" applyNumberFormat="1" applyFont="1" applyFill="1"/>
    <xf numFmtId="0" fontId="30" fillId="6" borderId="0" xfId="0" applyFont="1" applyFill="1"/>
    <xf numFmtId="37" fontId="30" fillId="6" borderId="13" xfId="0" applyNumberFormat="1" applyFont="1" applyFill="1" applyBorder="1" applyProtection="1"/>
    <xf numFmtId="165" fontId="30" fillId="6" borderId="13" xfId="0" applyNumberFormat="1" applyFont="1" applyFill="1" applyBorder="1" applyProtection="1"/>
    <xf numFmtId="10" fontId="30" fillId="6" borderId="0" xfId="0" applyNumberFormat="1" applyFont="1" applyFill="1" applyBorder="1" applyProtection="1"/>
    <xf numFmtId="37" fontId="30" fillId="6" borderId="14" xfId="0" applyNumberFormat="1" applyFont="1" applyFill="1" applyBorder="1" applyProtection="1"/>
    <xf numFmtId="165" fontId="30" fillId="6" borderId="14" xfId="0" applyNumberFormat="1" applyFont="1" applyFill="1" applyBorder="1" applyProtection="1"/>
    <xf numFmtId="5" fontId="30" fillId="6" borderId="12" xfId="0" applyNumberFormat="1" applyFont="1" applyFill="1" applyBorder="1" applyProtection="1"/>
    <xf numFmtId="5" fontId="30" fillId="6" borderId="14" xfId="0" applyNumberFormat="1" applyFont="1" applyFill="1" applyBorder="1" applyProtection="1"/>
    <xf numFmtId="167" fontId="61" fillId="0" borderId="0" xfId="0" applyNumberFormat="1" applyFont="1" applyFill="1"/>
    <xf numFmtId="37" fontId="48" fillId="0" borderId="0" xfId="0" applyNumberFormat="1" applyFont="1" applyFill="1"/>
    <xf numFmtId="37" fontId="62" fillId="0" borderId="0" xfId="0" applyNumberFormat="1" applyFont="1" applyFill="1"/>
    <xf numFmtId="165" fontId="21" fillId="0" borderId="0" xfId="1" applyNumberFormat="1" applyFont="1" applyFill="1" applyBorder="1"/>
    <xf numFmtId="165" fontId="10" fillId="0" borderId="0" xfId="1" applyNumberFormat="1" applyFont="1" applyBorder="1"/>
    <xf numFmtId="39" fontId="30" fillId="0" borderId="0" xfId="0" applyNumberFormat="1" applyFont="1" applyFill="1" applyProtection="1"/>
    <xf numFmtId="37" fontId="30" fillId="0" borderId="0" xfId="2" applyNumberFormat="1" applyFont="1"/>
    <xf numFmtId="0" fontId="63" fillId="0" borderId="0" xfId="0" applyFont="1"/>
    <xf numFmtId="0" fontId="63" fillId="0" borderId="0" xfId="0" applyFont="1" applyAlignment="1"/>
    <xf numFmtId="0" fontId="64" fillId="0" borderId="0" xfId="0" applyFont="1" applyAlignment="1">
      <alignment horizontal="center"/>
    </xf>
    <xf numFmtId="0" fontId="63" fillId="0" borderId="0" xfId="0" applyFont="1" applyFill="1"/>
    <xf numFmtId="3" fontId="64" fillId="0" borderId="0" xfId="0" applyNumberFormat="1" applyFont="1" applyAlignment="1">
      <alignment horizontal="center"/>
    </xf>
    <xf numFmtId="169" fontId="64" fillId="0" borderId="0" xfId="0" applyNumberFormat="1" applyFont="1" applyAlignment="1">
      <alignment horizontal="center"/>
    </xf>
    <xf numFmtId="0" fontId="64" fillId="0" borderId="0" xfId="0" applyFont="1" applyFill="1" applyAlignment="1">
      <alignment horizontal="center"/>
    </xf>
    <xf numFmtId="0" fontId="65" fillId="0" borderId="0" xfId="0" applyFont="1" applyAlignment="1">
      <alignment horizontal="center"/>
    </xf>
    <xf numFmtId="3" fontId="65" fillId="0" borderId="0" xfId="0" applyNumberFormat="1" applyFont="1" applyAlignment="1">
      <alignment horizontal="center"/>
    </xf>
    <xf numFmtId="169" fontId="65" fillId="0" borderId="0" xfId="0" applyNumberFormat="1" applyFont="1" applyAlignment="1">
      <alignment horizontal="center"/>
    </xf>
    <xf numFmtId="0" fontId="65" fillId="0" borderId="0" xfId="0" applyFont="1" applyFill="1" applyAlignment="1">
      <alignment horizontal="center"/>
    </xf>
    <xf numFmtId="3" fontId="63" fillId="0" borderId="0" xfId="0" applyNumberFormat="1" applyFont="1"/>
    <xf numFmtId="169" fontId="63" fillId="0" borderId="0" xfId="0" applyNumberFormat="1" applyFont="1"/>
    <xf numFmtId="0" fontId="63" fillId="0" borderId="0" xfId="0" quotePrefix="1" applyFont="1" applyAlignment="1">
      <alignment horizontal="center"/>
    </xf>
    <xf numFmtId="0" fontId="63" fillId="0" borderId="0" xfId="0" quotePrefix="1" applyFont="1" applyFill="1" applyAlignment="1">
      <alignment horizontal="center"/>
    </xf>
    <xf numFmtId="0" fontId="64" fillId="0" borderId="0" xfId="0" applyFont="1"/>
    <xf numFmtId="37" fontId="63" fillId="0" borderId="0" xfId="0" applyNumberFormat="1" applyFont="1"/>
    <xf numFmtId="190" fontId="63" fillId="0" borderId="0" xfId="0" applyNumberFormat="1" applyFont="1"/>
    <xf numFmtId="170" fontId="63" fillId="0" borderId="0" xfId="0" applyNumberFormat="1" applyFont="1"/>
    <xf numFmtId="190" fontId="63" fillId="0" borderId="0" xfId="0" applyNumberFormat="1" applyFont="1" applyFill="1"/>
    <xf numFmtId="37" fontId="66" fillId="0" borderId="0" xfId="0" applyNumberFormat="1" applyFont="1"/>
    <xf numFmtId="165" fontId="63" fillId="0" borderId="0" xfId="0" applyNumberFormat="1" applyFont="1"/>
    <xf numFmtId="7" fontId="66" fillId="0" borderId="0" xfId="0" applyNumberFormat="1" applyFont="1"/>
    <xf numFmtId="5" fontId="63" fillId="0" borderId="0" xfId="0" applyNumberFormat="1" applyFont="1"/>
    <xf numFmtId="165" fontId="66" fillId="0" borderId="0" xfId="0" applyNumberFormat="1" applyFont="1"/>
    <xf numFmtId="181" fontId="66" fillId="0" borderId="0" xfId="0" applyNumberFormat="1" applyFont="1"/>
    <xf numFmtId="181" fontId="63" fillId="0" borderId="0" xfId="0" applyNumberFormat="1" applyFont="1" applyFill="1"/>
    <xf numFmtId="5" fontId="63" fillId="0" borderId="0" xfId="0" applyNumberFormat="1" applyFont="1" applyFill="1"/>
    <xf numFmtId="5" fontId="63" fillId="0" borderId="0" xfId="2" applyNumberFormat="1" applyFont="1"/>
    <xf numFmtId="5" fontId="67" fillId="0" borderId="0" xfId="2" applyNumberFormat="1" applyFont="1"/>
    <xf numFmtId="5" fontId="67" fillId="0" borderId="0" xfId="0" applyNumberFormat="1" applyFont="1"/>
    <xf numFmtId="167" fontId="63" fillId="0" borderId="0" xfId="0" applyNumberFormat="1" applyFont="1" applyFill="1"/>
    <xf numFmtId="191" fontId="63" fillId="0" borderId="0" xfId="0" applyNumberFormat="1" applyFont="1"/>
    <xf numFmtId="179" fontId="63" fillId="0" borderId="0" xfId="0" applyNumberFormat="1" applyFont="1"/>
    <xf numFmtId="7" fontId="63" fillId="0" borderId="0" xfId="0" applyNumberFormat="1" applyFont="1" applyFill="1"/>
    <xf numFmtId="181" fontId="63" fillId="0" borderId="0" xfId="0" applyNumberFormat="1" applyFont="1"/>
    <xf numFmtId="179" fontId="63" fillId="0" borderId="0" xfId="2" applyNumberFormat="1" applyFont="1" applyFill="1"/>
    <xf numFmtId="179" fontId="63" fillId="0" borderId="0" xfId="2" applyNumberFormat="1" applyFont="1"/>
    <xf numFmtId="165" fontId="68" fillId="0" borderId="0" xfId="0" applyNumberFormat="1" applyFont="1"/>
    <xf numFmtId="3" fontId="66" fillId="0" borderId="0" xfId="0" applyNumberFormat="1" applyFont="1"/>
    <xf numFmtId="169" fontId="66" fillId="0" borderId="0" xfId="0" applyNumberFormat="1" applyFont="1"/>
    <xf numFmtId="0" fontId="63" fillId="0" borderId="0" xfId="0" quotePrefix="1" applyFont="1"/>
    <xf numFmtId="5" fontId="63" fillId="0" borderId="0" xfId="2" applyNumberFormat="1" applyFont="1" applyFill="1"/>
    <xf numFmtId="5" fontId="67" fillId="0" borderId="0" xfId="2" applyNumberFormat="1" applyFont="1" applyFill="1"/>
    <xf numFmtId="7" fontId="63" fillId="0" borderId="0" xfId="0" applyNumberFormat="1" applyFont="1"/>
    <xf numFmtId="165" fontId="67" fillId="0" borderId="0" xfId="0" applyNumberFormat="1" applyFont="1"/>
    <xf numFmtId="0" fontId="65" fillId="0" borderId="0" xfId="0" applyFont="1"/>
    <xf numFmtId="3" fontId="65" fillId="0" borderId="0" xfId="0" applyNumberFormat="1" applyFont="1"/>
    <xf numFmtId="169" fontId="65" fillId="0" borderId="0" xfId="0" applyNumberFormat="1" applyFont="1"/>
    <xf numFmtId="5" fontId="67" fillId="0" borderId="0" xfId="0" applyNumberFormat="1" applyFont="1" applyFill="1"/>
    <xf numFmtId="5" fontId="66" fillId="0" borderId="0" xfId="0" applyNumberFormat="1" applyFont="1"/>
    <xf numFmtId="0" fontId="69" fillId="0" borderId="0" xfId="0" applyFont="1"/>
    <xf numFmtId="192" fontId="63" fillId="0" borderId="0" xfId="0" applyNumberFormat="1" applyFont="1"/>
    <xf numFmtId="3" fontId="64" fillId="0" borderId="0" xfId="0" applyNumberFormat="1" applyFont="1"/>
    <xf numFmtId="169" fontId="64" fillId="0" borderId="0" xfId="0" applyNumberFormat="1" applyFont="1"/>
    <xf numFmtId="37" fontId="64" fillId="0" borderId="0" xfId="0" applyNumberFormat="1" applyFont="1"/>
    <xf numFmtId="179" fontId="67" fillId="0" borderId="0" xfId="2" applyNumberFormat="1" applyFont="1" applyFill="1"/>
    <xf numFmtId="190" fontId="64" fillId="0" borderId="0" xfId="0" applyNumberFormat="1" applyFont="1"/>
    <xf numFmtId="170" fontId="64" fillId="0" borderId="0" xfId="0" applyNumberFormat="1" applyFont="1"/>
    <xf numFmtId="5" fontId="64" fillId="0" borderId="0" xfId="0" applyNumberFormat="1" applyFont="1" applyFill="1"/>
    <xf numFmtId="179" fontId="64" fillId="0" borderId="0" xfId="2" applyNumberFormat="1" applyFont="1" applyFill="1"/>
    <xf numFmtId="191" fontId="64" fillId="0" borderId="0" xfId="0" applyNumberFormat="1" applyFont="1"/>
    <xf numFmtId="0" fontId="64" fillId="0" borderId="1" xfId="0" applyFont="1" applyBorder="1"/>
    <xf numFmtId="3" fontId="63" fillId="0" borderId="1" xfId="0" applyNumberFormat="1" applyFont="1" applyBorder="1"/>
    <xf numFmtId="169" fontId="63" fillId="0" borderId="1" xfId="0" applyNumberFormat="1" applyFont="1" applyBorder="1"/>
    <xf numFmtId="190" fontId="64" fillId="0" borderId="1" xfId="0" applyNumberFormat="1" applyFont="1" applyBorder="1"/>
    <xf numFmtId="170" fontId="64" fillId="0" borderId="1" xfId="0" applyNumberFormat="1" applyFont="1" applyBorder="1"/>
    <xf numFmtId="179" fontId="64" fillId="0" borderId="1" xfId="2" applyNumberFormat="1" applyFont="1" applyFill="1" applyBorder="1"/>
    <xf numFmtId="10" fontId="64" fillId="0" borderId="0" xfId="0" applyNumberFormat="1" applyFont="1"/>
    <xf numFmtId="37" fontId="63" fillId="0" borderId="0" xfId="2" applyNumberFormat="1" applyFont="1" applyFill="1"/>
    <xf numFmtId="37" fontId="63" fillId="0" borderId="0" xfId="0" applyNumberFormat="1" applyFont="1" applyFill="1"/>
    <xf numFmtId="37" fontId="67" fillId="0" borderId="0" xfId="0" applyNumberFormat="1" applyFont="1"/>
    <xf numFmtId="37" fontId="67" fillId="0" borderId="0" xfId="0" applyNumberFormat="1" applyFont="1" applyFill="1"/>
    <xf numFmtId="165" fontId="64" fillId="0" borderId="0" xfId="0" applyNumberFormat="1" applyFont="1"/>
    <xf numFmtId="5" fontId="64" fillId="0" borderId="0" xfId="0" applyNumberFormat="1" applyFont="1"/>
    <xf numFmtId="0" fontId="66" fillId="0" borderId="0" xfId="0" applyFont="1" applyFill="1"/>
    <xf numFmtId="7" fontId="63" fillId="6" borderId="0" xfId="0" applyNumberFormat="1" applyFont="1" applyFill="1"/>
    <xf numFmtId="181" fontId="63" fillId="6" borderId="0" xfId="0" applyNumberFormat="1" applyFont="1" applyFill="1"/>
    <xf numFmtId="5" fontId="63" fillId="6" borderId="0" xfId="2" applyNumberFormat="1" applyFont="1" applyFill="1"/>
    <xf numFmtId="0" fontId="1" fillId="0" borderId="0" xfId="3" applyFont="1" applyAlignment="1" applyProtection="1">
      <alignment horizontal="center"/>
    </xf>
    <xf numFmtId="0" fontId="25" fillId="0" borderId="0" xfId="3" applyFont="1" applyAlignment="1" applyProtection="1">
      <alignment horizont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37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29" fillId="0" borderId="0" xfId="0" quotePrefix="1" applyFont="1" applyAlignment="1">
      <alignment horizontal="center"/>
    </xf>
    <xf numFmtId="165" fontId="29" fillId="0" borderId="11" xfId="0" applyNumberFormat="1" applyFont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37" fontId="29" fillId="0" borderId="0" xfId="0" applyNumberFormat="1" applyFont="1" applyAlignment="1">
      <alignment horizontal="center"/>
    </xf>
    <xf numFmtId="165" fontId="29" fillId="0" borderId="0" xfId="0" applyNumberFormat="1" applyFont="1" applyFill="1" applyAlignment="1">
      <alignment horizontal="center"/>
    </xf>
    <xf numFmtId="37" fontId="29" fillId="0" borderId="0" xfId="0" applyNumberFormat="1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165" fontId="29" fillId="0" borderId="11" xfId="0" applyNumberFormat="1" applyFont="1" applyFill="1" applyBorder="1" applyAlignment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17" fontId="59" fillId="0" borderId="0" xfId="0" quotePrefix="1" applyNumberFormat="1" applyFont="1" applyFill="1" applyAlignment="1">
      <alignment horizontal="center"/>
    </xf>
    <xf numFmtId="0" fontId="59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3" fillId="0" borderId="0" xfId="0" applyFont="1" applyAlignment="1">
      <alignment horizontal="right"/>
    </xf>
    <xf numFmtId="0" fontId="6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Currency 2" xfId="4"/>
    <cellStyle name="Normal" xfId="0" builtinId="0"/>
    <cellStyle name="Normal_Schedules A thru L Cost of Servive June 30, 2009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34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2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3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Rate%20Case/2008/Class%20Cost%20of%20Service/Sep%2012.%202008/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rate/CMD/ratecase/1995/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65791/Local%20Settings/Temporary%20Internet%20Files/Content.Outlook/PQT8T9TM/Schedules%20TME%20Nov%202014/Schedule%20M%20-%20Revenue/Sch%20M%20-%20Revenue%20and%20Rate%20Design%20(Base%20Period)%20w%20Actual%20Rates%20TO%20BE%20FI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09/Outcome%20Studies/Settlement%20Offer/Schedule%20M%20-%20Revenue,%20Final%20Rate%20Design,%20and%20Revennue%20Proof%20at%206125000%209-11-09%20backup%20by%20rate%20c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65791/Local%20Settings/Temporary%20Internet%20Files/Content.Outlook/PQT8T9TM/Schedule%20C%20&amp;%20D%20-%20Operating%20Income/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0%20Rate%20Case%20&amp;%20ET%20(Actual%2012-31-09)/Settlement/Proposed%20Rate%20Design%20based%20off%20$0.5%20million%20propos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09/Rate%20Case%20Schedules/Base/Schedule%20C%20-%20Operating%20Income/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ing%20Initiative/ADM%20Support/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aylor/LOCALS~1/Temp/notesC9812B/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Schedule%20A%20thru%20L%20Updates%20&amp;%20Revisions/Copy%20of%20Schedules%20A%20thru%20L%20Cost%20of%20Servive%20September30,%202006%20Outcome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MD\Rate%20Case\2016\Revenue\2016%20Exhibit%202%20with%20Rate%20Design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701433~1/LOCALS~1/Temp/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arkegj/LOCALS~1/Temp/d.My%20Documents.Notes.Data/2004%20GIS/Submitted%20Files/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21726/AppData/Local/Temp/notesC9812B/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CASE/2006%20Rate%20Case%20TME%2012-31-05,%20Proforma%209-30-06/Revenue/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D-2.1 Output"/>
      <sheetName val="Input"/>
      <sheetName val="A"/>
      <sheetName val="B"/>
      <sheetName val="C"/>
      <sheetName val="D - Do Not Use"/>
      <sheetName val="E pg 1 thru 4"/>
      <sheetName val="E pg 5 to 6"/>
      <sheetName val="E pg 7 to 8"/>
      <sheetName val="Sch M"/>
      <sheetName val="Sch M 2.1"/>
      <sheetName val="Sch M 2.2"/>
      <sheetName val="Sch M 2.3"/>
      <sheetName val="Sch M - Do Not Use"/>
      <sheetName val="MPB-6 Page 4"/>
      <sheetName val="MPB-6 Rate Design"/>
      <sheetName val="Macros"/>
    </sheetNames>
    <sheetDataSet>
      <sheetData sheetId="0" refreshError="1"/>
      <sheetData sheetId="1" refreshError="1">
        <row r="12">
          <cell r="B12" t="str">
            <v>Case No. 2013-</v>
          </cell>
        </row>
        <row r="14">
          <cell r="B14" t="str">
            <v>Witness: C. E. Notestone</v>
          </cell>
        </row>
        <row r="16">
          <cell r="C16">
            <v>4.3373999999999997</v>
          </cell>
        </row>
        <row r="17">
          <cell r="C17">
            <v>4.1236999999999995</v>
          </cell>
        </row>
        <row r="20">
          <cell r="C20" t="str">
            <v>February 28, 2013</v>
          </cell>
        </row>
      </sheetData>
      <sheetData sheetId="2" refreshError="1"/>
      <sheetData sheetId="3" refreshError="1">
        <row r="1">
          <cell r="A1" t="str">
            <v>Columbia Gas of Kentucky, Inc.</v>
          </cell>
        </row>
        <row r="3">
          <cell r="A3" t="str">
            <v>For the 12 Months Ended July 31, 2013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D-2.1 Output"/>
      <sheetName val="Input"/>
      <sheetName val="A"/>
      <sheetName val="B"/>
      <sheetName val="C"/>
      <sheetName val="D"/>
      <sheetName val="E pg 1 and 2"/>
      <sheetName val="E pg 3 to 6"/>
      <sheetName val="E pg 7"/>
      <sheetName val="Sch M 2.1"/>
      <sheetName val="Sch M 2.2"/>
      <sheetName val="Sch M 2.3"/>
      <sheetName val="Sch M"/>
      <sheetName val="MPB-6 Rate Design"/>
      <sheetName val="MPB-6 Page 4"/>
      <sheetName val="Revenue Proof"/>
      <sheetName val="Macros"/>
    </sheetNames>
    <sheetDataSet>
      <sheetData sheetId="0"/>
      <sheetData sheetId="1">
        <row r="18">
          <cell r="C18">
            <v>8.8880999999999997</v>
          </cell>
        </row>
        <row r="19">
          <cell r="C19">
            <v>1.2343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6">
          <cell r="M96">
            <v>0</v>
          </cell>
        </row>
      </sheetData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2">
          <cell r="A2" t="str">
            <v>CASE NO. 2013-XXXXX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esent Rates"/>
      <sheetName val="4-A"/>
      <sheetName val="4-B"/>
      <sheetName val="4-C"/>
      <sheetName val="4-D"/>
      <sheetName val="4-E-1"/>
      <sheetName val="4-E-2"/>
      <sheetName val="4-F"/>
      <sheetName val="4-F-2"/>
      <sheetName val="4-G"/>
      <sheetName val="4-H"/>
      <sheetName val="4-I"/>
      <sheetName val="4-J"/>
      <sheetName val="Adj 4"/>
      <sheetName val="1-2-3"/>
      <sheetName val="SR"/>
      <sheetName val="Sch 42-A"/>
      <sheetName val="Sch 42-B"/>
      <sheetName val="Rate Design"/>
      <sheetName val="Sch 41-A"/>
      <sheetName val="Sch43"/>
      <sheetName val="Macros"/>
    </sheetNames>
    <sheetDataSet>
      <sheetData sheetId="0"/>
      <sheetData sheetId="1"/>
      <sheetData sheetId="2">
        <row r="15">
          <cell r="H15">
            <v>12.25</v>
          </cell>
        </row>
      </sheetData>
      <sheetData sheetId="3">
        <row r="1">
          <cell r="A1" t="str">
            <v>Columbia Gas of Virginia, Inc.</v>
          </cell>
        </row>
      </sheetData>
      <sheetData sheetId="4">
        <row r="155">
          <cell r="M155">
            <v>308525</v>
          </cell>
        </row>
      </sheetData>
      <sheetData sheetId="5"/>
      <sheetData sheetId="6"/>
      <sheetData sheetId="7"/>
      <sheetData sheetId="8"/>
      <sheetData sheetId="9"/>
      <sheetData sheetId="10">
        <row r="626">
          <cell r="J626">
            <v>151694945</v>
          </cell>
        </row>
      </sheetData>
      <sheetData sheetId="11"/>
      <sheetData sheetId="12"/>
      <sheetData sheetId="13"/>
      <sheetData sheetId="14">
        <row r="23">
          <cell r="N23">
            <v>22528937</v>
          </cell>
        </row>
      </sheetData>
      <sheetData sheetId="15"/>
      <sheetData sheetId="16"/>
      <sheetData sheetId="17">
        <row r="16">
          <cell r="F16">
            <v>2586191</v>
          </cell>
        </row>
      </sheetData>
      <sheetData sheetId="18">
        <row r="33">
          <cell r="F33">
            <v>217230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p 2"/>
      <sheetName val="Per Books Purchase Gas Exp"/>
      <sheetName val="Annualized Purchase Gas Exp "/>
      <sheetName val="Uncoll Sur p 5"/>
      <sheetName val="Unadj. Rev 2-A"/>
      <sheetName val="Bills 2-B"/>
      <sheetName val="Dth 2-C"/>
      <sheetName val=" Norm 2-D"/>
      <sheetName val="Adj. Rev 2-E"/>
      <sheetName val="Adj to OGDR 2-F"/>
      <sheetName val="Adj. Rev 2-G"/>
      <sheetName val="Gas Cost WP - Do not file"/>
      <sheetName val="Rate Design"/>
      <sheetName val="Bill Comp"/>
      <sheetName val="RNA Base"/>
    </sheetNames>
    <sheetDataSet>
      <sheetData sheetId="0">
        <row r="3">
          <cell r="A3" t="str">
            <v>For the Twelve Months Ending April 30, 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  <row r="4">
          <cell r="G4" t="str">
            <v>Witness: M. J. Bell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">
    <pageSetUpPr fitToPage="1"/>
  </sheetPr>
  <dimension ref="A1:I26"/>
  <sheetViews>
    <sheetView workbookViewId="0">
      <selection activeCell="C1" sqref="C1"/>
    </sheetView>
  </sheetViews>
  <sheetFormatPr defaultColWidth="11.83203125" defaultRowHeight="10.199999999999999" x14ac:dyDescent="0.2"/>
  <cols>
    <col min="1" max="1" width="30.83203125" style="198" customWidth="1"/>
    <col min="2" max="2" width="5.83203125" style="198" customWidth="1"/>
    <col min="3" max="3" width="101.33203125" style="198" customWidth="1"/>
    <col min="4" max="9" width="11.83203125" style="198"/>
    <col min="10" max="10" width="11.83203125" style="198" customWidth="1"/>
    <col min="11" max="11" width="11.83203125" style="198"/>
    <col min="12" max="12" width="2.1640625" style="198" customWidth="1"/>
    <col min="13" max="13" width="9.33203125" style="198" customWidth="1"/>
    <col min="14" max="14" width="8.1640625" style="198" customWidth="1"/>
    <col min="15" max="16384" width="11.83203125" style="198"/>
  </cols>
  <sheetData>
    <row r="1" spans="1:3" ht="13.2" x14ac:dyDescent="0.25">
      <c r="A1" s="206" t="s">
        <v>329</v>
      </c>
      <c r="B1" s="199"/>
      <c r="C1" s="199"/>
    </row>
    <row r="2" spans="1:3" ht="13.2" x14ac:dyDescent="0.25">
      <c r="A2" s="199"/>
      <c r="B2" s="199"/>
      <c r="C2" s="199"/>
    </row>
    <row r="3" spans="1:3" ht="13.2" x14ac:dyDescent="0.25">
      <c r="A3" s="973" t="s">
        <v>328</v>
      </c>
      <c r="B3" s="973"/>
      <c r="C3" s="973"/>
    </row>
    <row r="4" spans="1:3" ht="13.2" x14ac:dyDescent="0.25">
      <c r="A4" s="199"/>
      <c r="B4" s="199"/>
      <c r="C4" s="199"/>
    </row>
    <row r="5" spans="1:3" ht="13.2" x14ac:dyDescent="0.25">
      <c r="A5" s="973" t="s">
        <v>327</v>
      </c>
      <c r="B5" s="973"/>
      <c r="C5" s="973"/>
    </row>
    <row r="6" spans="1:3" ht="13.2" x14ac:dyDescent="0.25">
      <c r="A6" s="199"/>
      <c r="B6" s="199"/>
      <c r="C6" s="199"/>
    </row>
    <row r="7" spans="1:3" ht="13.2" x14ac:dyDescent="0.25">
      <c r="A7" s="973" t="s">
        <v>326</v>
      </c>
      <c r="B7" s="973"/>
      <c r="C7" s="973"/>
    </row>
    <row r="8" spans="1:3" ht="13.2" x14ac:dyDescent="0.25">
      <c r="A8" s="199"/>
      <c r="B8" s="199"/>
      <c r="C8" s="199"/>
    </row>
    <row r="9" spans="1:3" ht="13.2" x14ac:dyDescent="0.25">
      <c r="A9" s="974" t="s">
        <v>639</v>
      </c>
      <c r="B9" s="974"/>
      <c r="C9" s="974"/>
    </row>
    <row r="10" spans="1:3" ht="13.2" x14ac:dyDescent="0.25">
      <c r="A10" s="199"/>
      <c r="B10" s="199"/>
      <c r="C10" s="199"/>
    </row>
    <row r="11" spans="1:3" ht="13.2" x14ac:dyDescent="0.25">
      <c r="A11" s="199"/>
      <c r="B11" s="199"/>
      <c r="C11" s="199"/>
    </row>
    <row r="12" spans="1:3" ht="13.2" x14ac:dyDescent="0.25">
      <c r="A12" s="199"/>
      <c r="B12" s="199"/>
      <c r="C12" s="199"/>
    </row>
    <row r="13" spans="1:3" ht="13.2" x14ac:dyDescent="0.25">
      <c r="A13" s="205" t="s">
        <v>325</v>
      </c>
      <c r="B13" s="199"/>
      <c r="C13" s="217" t="s">
        <v>637</v>
      </c>
    </row>
    <row r="14" spans="1:3" ht="13.2" x14ac:dyDescent="0.25">
      <c r="A14" s="199"/>
      <c r="B14" s="199"/>
      <c r="C14" s="199"/>
    </row>
    <row r="15" spans="1:3" ht="13.2" x14ac:dyDescent="0.25">
      <c r="A15" s="205" t="s">
        <v>324</v>
      </c>
      <c r="B15" s="199"/>
      <c r="C15" s="217" t="s">
        <v>638</v>
      </c>
    </row>
    <row r="16" spans="1:3" ht="13.2" x14ac:dyDescent="0.25">
      <c r="A16" s="199"/>
      <c r="B16" s="199"/>
      <c r="C16" s="199"/>
    </row>
    <row r="17" spans="1:9" ht="13.2" x14ac:dyDescent="0.25">
      <c r="A17" s="199"/>
      <c r="B17" s="199"/>
      <c r="C17" s="199"/>
    </row>
    <row r="18" spans="1:9" ht="13.2" x14ac:dyDescent="0.25">
      <c r="A18" s="203" t="s">
        <v>323</v>
      </c>
      <c r="B18" s="204"/>
      <c r="C18" s="203" t="s">
        <v>146</v>
      </c>
      <c r="D18" s="202"/>
      <c r="E18" s="202"/>
      <c r="F18" s="202"/>
      <c r="G18" s="202"/>
      <c r="H18" s="202"/>
      <c r="I18" s="202"/>
    </row>
    <row r="19" spans="1:9" ht="13.2" x14ac:dyDescent="0.25">
      <c r="A19" s="199"/>
      <c r="B19" s="199"/>
      <c r="C19" s="199"/>
    </row>
    <row r="20" spans="1:9" ht="13.2" x14ac:dyDescent="0.25">
      <c r="A20" s="199"/>
      <c r="B20" s="199"/>
      <c r="C20" s="199"/>
    </row>
    <row r="21" spans="1:9" ht="13.2" x14ac:dyDescent="0.25">
      <c r="A21" s="200" t="s">
        <v>322</v>
      </c>
      <c r="B21" s="201"/>
      <c r="C21" s="200" t="s">
        <v>321</v>
      </c>
    </row>
    <row r="22" spans="1:9" ht="13.2" x14ac:dyDescent="0.25">
      <c r="A22" s="200" t="s">
        <v>320</v>
      </c>
      <c r="B22" s="201"/>
      <c r="C22" s="200" t="s">
        <v>319</v>
      </c>
    </row>
    <row r="23" spans="1:9" ht="12" customHeight="1" x14ac:dyDescent="0.25">
      <c r="A23" s="200" t="s">
        <v>143</v>
      </c>
      <c r="B23" s="201"/>
      <c r="C23" s="200" t="s">
        <v>401</v>
      </c>
    </row>
    <row r="24" spans="1:9" ht="12" customHeight="1" x14ac:dyDescent="0.25">
      <c r="A24" s="200" t="s">
        <v>400</v>
      </c>
      <c r="B24" s="201"/>
      <c r="C24" s="200" t="s">
        <v>405</v>
      </c>
    </row>
    <row r="25" spans="1:9" ht="13.2" x14ac:dyDescent="0.25">
      <c r="A25" s="200" t="s">
        <v>303</v>
      </c>
      <c r="B25" s="201"/>
      <c r="C25" s="200" t="s">
        <v>402</v>
      </c>
    </row>
    <row r="26" spans="1:9" ht="13.2" x14ac:dyDescent="0.25">
      <c r="A26" s="199"/>
      <c r="B26" s="199"/>
      <c r="C26" s="199"/>
    </row>
  </sheetData>
  <mergeCells count="4">
    <mergeCell ref="A3:C3"/>
    <mergeCell ref="A5:C5"/>
    <mergeCell ref="A7:C7"/>
    <mergeCell ref="A9:C9"/>
  </mergeCells>
  <printOptions horizontalCentered="1"/>
  <pageMargins left="1" right="1" top="1" bottom="1" header="0.5" footer="0.5"/>
  <pageSetup scale="82" orientation="portrait" r:id="rId1"/>
  <headerFooter alignWithMargins="0">
    <oddHeader>&amp;RKY PSC Case No. 2016-0016
Attachment A to PSC 3-3(b)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R1375"/>
  <sheetViews>
    <sheetView topLeftCell="A352" zoomScaleNormal="100" zoomScaleSheetLayoutView="76" workbookViewId="0">
      <selection activeCell="Q370" sqref="Q370"/>
    </sheetView>
  </sheetViews>
  <sheetFormatPr defaultColWidth="10" defaultRowHeight="10.199999999999999" x14ac:dyDescent="0.2"/>
  <cols>
    <col min="1" max="1" width="5" style="222" customWidth="1"/>
    <col min="2" max="2" width="9" style="219" customWidth="1"/>
    <col min="3" max="3" width="35.1640625" style="219" customWidth="1"/>
    <col min="4" max="4" width="11.33203125" style="240" bestFit="1" customWidth="1"/>
    <col min="5" max="5" width="14.6640625" style="219" bestFit="1" customWidth="1"/>
    <col min="6" max="6" width="14.6640625" style="290" bestFit="1" customWidth="1"/>
    <col min="7" max="7" width="14.33203125" style="412" bestFit="1" customWidth="1"/>
    <col min="8" max="8" width="13.6640625" style="290" bestFit="1" customWidth="1"/>
    <col min="9" max="9" width="13" style="245" bestFit="1" customWidth="1"/>
    <col min="10" max="14" width="13" style="290" bestFit="1" customWidth="1"/>
    <col min="15" max="15" width="13.6640625" style="290" bestFit="1" customWidth="1"/>
    <col min="16" max="16" width="14.33203125" style="290" bestFit="1" customWidth="1"/>
    <col min="17" max="17" width="15" style="219" customWidth="1"/>
    <col min="18" max="18" width="14.33203125" style="219" bestFit="1" customWidth="1"/>
    <col min="19" max="16384" width="10" style="219"/>
  </cols>
  <sheetData>
    <row r="1" spans="1:17" x14ac:dyDescent="0.2">
      <c r="A1" s="993" t="str">
        <f>CONAME</f>
        <v>Columbia Gas of Kentucky, Inc.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</row>
    <row r="2" spans="1:17" x14ac:dyDescent="0.2">
      <c r="A2" s="981" t="str">
        <f>case</f>
        <v>Case No. 2016-00162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</row>
    <row r="3" spans="1:17" x14ac:dyDescent="0.2">
      <c r="A3" s="994" t="s">
        <v>493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</row>
    <row r="4" spans="1:17" x14ac:dyDescent="0.2">
      <c r="A4" s="993" t="str">
        <f>TYDESC</f>
        <v>For the 12 Months Ended December 31, 2017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</row>
    <row r="5" spans="1:17" x14ac:dyDescent="0.2">
      <c r="A5" s="991" t="s">
        <v>39</v>
      </c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</row>
    <row r="6" spans="1:17" x14ac:dyDescent="0.2">
      <c r="A6" s="262" t="str">
        <f>$A$52</f>
        <v>Data: __ Base Period _X_ Forecasted Period</v>
      </c>
    </row>
    <row r="7" spans="1:17" x14ac:dyDescent="0.2">
      <c r="A7" s="262" t="str">
        <f>$A$53</f>
        <v>Type of Filing: X Original _ Update _ Revised</v>
      </c>
      <c r="Q7" s="413" t="str">
        <f>$Q$53</f>
        <v>Schedule M-2.2</v>
      </c>
    </row>
    <row r="8" spans="1:17" x14ac:dyDescent="0.2">
      <c r="A8" s="262" t="str">
        <f>$A$54</f>
        <v>Work Paper Reference No(s):</v>
      </c>
      <c r="Q8" s="413" t="s">
        <v>496</v>
      </c>
    </row>
    <row r="9" spans="1:17" x14ac:dyDescent="0.2">
      <c r="A9" s="414" t="str">
        <f>$A$55</f>
        <v>12 Months Forecasted</v>
      </c>
      <c r="Q9" s="413" t="str">
        <f>Witness</f>
        <v>Witness:  M. J. Bell</v>
      </c>
    </row>
    <row r="10" spans="1:17" x14ac:dyDescent="0.2">
      <c r="A10" s="992" t="s">
        <v>194</v>
      </c>
      <c r="B10" s="992"/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</row>
    <row r="11" spans="1:17" x14ac:dyDescent="0.2">
      <c r="A11" s="302"/>
      <c r="B11" s="301"/>
      <c r="C11" s="301"/>
      <c r="D11" s="300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</row>
    <row r="12" spans="1:17" x14ac:dyDescent="0.2">
      <c r="A12" s="410" t="s">
        <v>1</v>
      </c>
      <c r="B12" s="224" t="s">
        <v>224</v>
      </c>
      <c r="C12" s="224" t="s">
        <v>41</v>
      </c>
      <c r="D12" s="416" t="s">
        <v>47</v>
      </c>
      <c r="E12" s="417"/>
      <c r="F12" s="418"/>
      <c r="G12" s="417"/>
      <c r="H12" s="419"/>
      <c r="I12" s="417"/>
      <c r="J12" s="417"/>
      <c r="K12" s="417"/>
      <c r="L12" s="417"/>
      <c r="M12" s="417"/>
      <c r="N12" s="417"/>
      <c r="O12" s="229"/>
      <c r="P12" s="229"/>
      <c r="Q12" s="229"/>
    </row>
    <row r="13" spans="1:17" x14ac:dyDescent="0.2">
      <c r="A13" s="281" t="s">
        <v>3</v>
      </c>
      <c r="B13" s="226" t="s">
        <v>225</v>
      </c>
      <c r="C13" s="226" t="s">
        <v>4</v>
      </c>
      <c r="D13" s="420" t="s">
        <v>48</v>
      </c>
      <c r="E13" s="421" t="str">
        <f>B!$D$11</f>
        <v>Jan-17</v>
      </c>
      <c r="F13" s="421" t="str">
        <f>B!$E$11</f>
        <v>Feb-17</v>
      </c>
      <c r="G13" s="421" t="str">
        <f>B!$F$11</f>
        <v>Mar-17</v>
      </c>
      <c r="H13" s="421" t="str">
        <f>B!$G$11</f>
        <v>Apr-17</v>
      </c>
      <c r="I13" s="421" t="str">
        <f>B!$H$11</f>
        <v>May-17</v>
      </c>
      <c r="J13" s="421" t="str">
        <f>B!$I$11</f>
        <v>Jun-17</v>
      </c>
      <c r="K13" s="421" t="str">
        <f>B!$J$11</f>
        <v>Jul-17</v>
      </c>
      <c r="L13" s="421" t="str">
        <f>B!$K$11</f>
        <v>Aug-17</v>
      </c>
      <c r="M13" s="421" t="str">
        <f>B!$L$11</f>
        <v>Sep-17</v>
      </c>
      <c r="N13" s="421" t="str">
        <f>B!$M$11</f>
        <v>Oct-17</v>
      </c>
      <c r="O13" s="421" t="str">
        <f>B!$N$11</f>
        <v>Nov-17</v>
      </c>
      <c r="P13" s="421" t="str">
        <f>B!$O$11</f>
        <v>Dec-17</v>
      </c>
      <c r="Q13" s="422" t="s">
        <v>9</v>
      </c>
    </row>
    <row r="14" spans="1:17" x14ac:dyDescent="0.2">
      <c r="A14" s="410"/>
      <c r="B14" s="229" t="s">
        <v>42</v>
      </c>
      <c r="C14" s="229" t="s">
        <v>43</v>
      </c>
      <c r="D14" s="423" t="s">
        <v>45</v>
      </c>
      <c r="E14" s="424" t="s">
        <v>46</v>
      </c>
      <c r="F14" s="424" t="s">
        <v>49</v>
      </c>
      <c r="G14" s="424" t="s">
        <v>50</v>
      </c>
      <c r="H14" s="424" t="s">
        <v>51</v>
      </c>
      <c r="I14" s="424" t="s">
        <v>52</v>
      </c>
      <c r="J14" s="424" t="s">
        <v>53</v>
      </c>
      <c r="K14" s="425" t="s">
        <v>54</v>
      </c>
      <c r="L14" s="425" t="s">
        <v>55</v>
      </c>
      <c r="M14" s="425" t="s">
        <v>56</v>
      </c>
      <c r="N14" s="425" t="s">
        <v>57</v>
      </c>
      <c r="O14" s="425" t="s">
        <v>58</v>
      </c>
      <c r="P14" s="425" t="s">
        <v>59</v>
      </c>
      <c r="Q14" s="425" t="s">
        <v>203</v>
      </c>
    </row>
    <row r="15" spans="1:17" x14ac:dyDescent="0.2">
      <c r="A15" s="302"/>
      <c r="B15" s="301"/>
      <c r="C15" s="301"/>
      <c r="D15" s="300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22"/>
      <c r="Q15" s="422"/>
    </row>
    <row r="16" spans="1:17" x14ac:dyDescent="0.2">
      <c r="A16" s="222">
        <v>1</v>
      </c>
      <c r="B16" s="222"/>
      <c r="C16" s="426" t="s">
        <v>226</v>
      </c>
      <c r="P16" s="425"/>
      <c r="Q16" s="425"/>
    </row>
    <row r="17" spans="1:18" x14ac:dyDescent="0.2">
      <c r="B17" s="222"/>
      <c r="C17" s="426"/>
      <c r="P17" s="415"/>
      <c r="Q17" s="415"/>
    </row>
    <row r="18" spans="1:18" x14ac:dyDescent="0.2">
      <c r="A18" s="222">
        <f>A16+1</f>
        <v>2</v>
      </c>
      <c r="B18" s="222"/>
      <c r="C18" s="426" t="s">
        <v>227</v>
      </c>
    </row>
    <row r="19" spans="1:18" x14ac:dyDescent="0.2">
      <c r="A19" s="222">
        <f>A18+1</f>
        <v>3</v>
      </c>
      <c r="B19" s="259">
        <v>480</v>
      </c>
      <c r="C19" s="222" t="s">
        <v>229</v>
      </c>
      <c r="E19" s="427">
        <f t="shared" ref="E19:P19" si="0">E70+E84+E91+E98+E105+E134+E148+E155</f>
        <v>7846190.4999999991</v>
      </c>
      <c r="F19" s="427">
        <f t="shared" si="0"/>
        <v>7663359.7999999998</v>
      </c>
      <c r="G19" s="427">
        <f t="shared" si="0"/>
        <v>6195223.9099999992</v>
      </c>
      <c r="H19" s="427">
        <f t="shared" si="0"/>
        <v>4301603.3199999994</v>
      </c>
      <c r="I19" s="427">
        <f t="shared" si="0"/>
        <v>2959875.2399999998</v>
      </c>
      <c r="J19" s="427">
        <f t="shared" si="0"/>
        <v>2324247.2000000002</v>
      </c>
      <c r="K19" s="427">
        <f t="shared" si="0"/>
        <v>2149642.4700000002</v>
      </c>
      <c r="L19" s="427">
        <f t="shared" si="0"/>
        <v>2142831.4700000002</v>
      </c>
      <c r="M19" s="427">
        <f t="shared" si="0"/>
        <v>2144969.4600000004</v>
      </c>
      <c r="N19" s="427">
        <f t="shared" si="0"/>
        <v>2385375.4</v>
      </c>
      <c r="O19" s="427">
        <f t="shared" si="0"/>
        <v>3618616.0900000008</v>
      </c>
      <c r="P19" s="427">
        <f t="shared" si="0"/>
        <v>5901645.4300000006</v>
      </c>
      <c r="Q19" s="427">
        <f>SUM(E19:P19)</f>
        <v>49633580.289999999</v>
      </c>
      <c r="R19" s="428">
        <f>Q70+Q84+Q91+Q98+Q105+Q134+Q148+Q155</f>
        <v>49633580.289999999</v>
      </c>
    </row>
    <row r="20" spans="1:18" x14ac:dyDescent="0.2">
      <c r="A20" s="222">
        <f>A19+1</f>
        <v>4</v>
      </c>
      <c r="B20" s="259">
        <v>481.1</v>
      </c>
      <c r="C20" s="222" t="s">
        <v>230</v>
      </c>
      <c r="E20" s="429">
        <f t="shared" ref="E20:P20" si="1">E77+E141+E162</f>
        <v>3217802.55</v>
      </c>
      <c r="F20" s="429">
        <f t="shared" si="1"/>
        <v>3205817.64</v>
      </c>
      <c r="G20" s="429">
        <f t="shared" si="1"/>
        <v>2387480.5</v>
      </c>
      <c r="H20" s="429">
        <f t="shared" si="1"/>
        <v>1633593.31</v>
      </c>
      <c r="I20" s="429">
        <f t="shared" si="1"/>
        <v>1023502.2000000001</v>
      </c>
      <c r="J20" s="429">
        <f t="shared" si="1"/>
        <v>791304.52999999991</v>
      </c>
      <c r="K20" s="429">
        <f t="shared" si="1"/>
        <v>690861.47000000009</v>
      </c>
      <c r="L20" s="429">
        <f t="shared" si="1"/>
        <v>673449.84</v>
      </c>
      <c r="M20" s="429">
        <f t="shared" si="1"/>
        <v>668132.54999999993</v>
      </c>
      <c r="N20" s="429">
        <f t="shared" si="1"/>
        <v>777295.27000000014</v>
      </c>
      <c r="O20" s="429">
        <f t="shared" si="1"/>
        <v>1180863.24</v>
      </c>
      <c r="P20" s="429">
        <f t="shared" si="1"/>
        <v>2239232.23</v>
      </c>
      <c r="Q20" s="240">
        <f>SUM(E20:P20)</f>
        <v>18489335.329999998</v>
      </c>
      <c r="R20" s="428">
        <f>Q77+Q141+Q162</f>
        <v>18489335.329999998</v>
      </c>
    </row>
    <row r="21" spans="1:18" x14ac:dyDescent="0.2">
      <c r="A21" s="222">
        <f t="shared" ref="A21:A33" si="2">A20+1</f>
        <v>5</v>
      </c>
      <c r="B21" s="430">
        <v>481.2</v>
      </c>
      <c r="C21" s="222" t="s">
        <v>231</v>
      </c>
      <c r="E21" s="240">
        <f t="shared" ref="E21:P21" si="3">E190+E197</f>
        <v>129149.99</v>
      </c>
      <c r="F21" s="240">
        <f t="shared" si="3"/>
        <v>125132.98999999999</v>
      </c>
      <c r="G21" s="240">
        <f t="shared" si="3"/>
        <v>121088.68</v>
      </c>
      <c r="H21" s="240">
        <f t="shared" si="3"/>
        <v>116752.69000000002</v>
      </c>
      <c r="I21" s="240">
        <f t="shared" si="3"/>
        <v>112364.84999999999</v>
      </c>
      <c r="J21" s="240">
        <f t="shared" si="3"/>
        <v>108141.06</v>
      </c>
      <c r="K21" s="240">
        <f t="shared" si="3"/>
        <v>108140.14</v>
      </c>
      <c r="L21" s="240">
        <f t="shared" si="3"/>
        <v>112164.59</v>
      </c>
      <c r="M21" s="240">
        <f t="shared" si="3"/>
        <v>112114.09</v>
      </c>
      <c r="N21" s="240">
        <f t="shared" si="3"/>
        <v>120237.79999999999</v>
      </c>
      <c r="O21" s="240">
        <f t="shared" si="3"/>
        <v>120706.85999999999</v>
      </c>
      <c r="P21" s="240">
        <f t="shared" si="3"/>
        <v>121305.35</v>
      </c>
      <c r="Q21" s="240">
        <f>SUM(E21:P21)</f>
        <v>1407299.0899999999</v>
      </c>
      <c r="R21" s="428">
        <f>Q197+Q190</f>
        <v>1407299.0899999999</v>
      </c>
    </row>
    <row r="22" spans="1:18" x14ac:dyDescent="0.2">
      <c r="A22" s="222">
        <f>A25+1</f>
        <v>8</v>
      </c>
      <c r="B22" s="259">
        <v>483</v>
      </c>
      <c r="C22" s="222" t="s">
        <v>233</v>
      </c>
      <c r="E22" s="431">
        <f t="shared" ref="E22:P22" si="4">E204</f>
        <v>10643.800000000001</v>
      </c>
      <c r="F22" s="431">
        <f t="shared" si="4"/>
        <v>8122.05</v>
      </c>
      <c r="G22" s="431">
        <f t="shared" si="4"/>
        <v>4447.7800000000007</v>
      </c>
      <c r="H22" s="431">
        <f t="shared" si="4"/>
        <v>3058.7599999999998</v>
      </c>
      <c r="I22" s="431">
        <f t="shared" si="4"/>
        <v>2211.17</v>
      </c>
      <c r="J22" s="431">
        <f t="shared" si="4"/>
        <v>1780.99</v>
      </c>
      <c r="K22" s="431">
        <f t="shared" si="4"/>
        <v>1852.7500000000002</v>
      </c>
      <c r="L22" s="431">
        <f t="shared" si="4"/>
        <v>1704.6900000000003</v>
      </c>
      <c r="M22" s="431">
        <f t="shared" si="4"/>
        <v>1705.6100000000001</v>
      </c>
      <c r="N22" s="431">
        <f t="shared" si="4"/>
        <v>3251.8</v>
      </c>
      <c r="O22" s="431">
        <f t="shared" si="4"/>
        <v>4191.49</v>
      </c>
      <c r="P22" s="431">
        <f t="shared" si="4"/>
        <v>4740.2300000000005</v>
      </c>
      <c r="Q22" s="431">
        <f>SUM(E22:P22)</f>
        <v>47711.12000000001</v>
      </c>
      <c r="R22" s="432">
        <f>Q22+Q204</f>
        <v>95422.24000000002</v>
      </c>
    </row>
    <row r="23" spans="1:18" x14ac:dyDescent="0.2">
      <c r="A23" s="222">
        <f>A21+1</f>
        <v>6</v>
      </c>
      <c r="B23" s="430"/>
      <c r="C23" s="222" t="s">
        <v>232</v>
      </c>
      <c r="E23" s="427">
        <f t="shared" ref="E23:O23" si="5">SUM(E19:E22)</f>
        <v>11203786.84</v>
      </c>
      <c r="F23" s="427">
        <f t="shared" si="5"/>
        <v>11002432.48</v>
      </c>
      <c r="G23" s="427">
        <f t="shared" si="5"/>
        <v>8708240.8699999992</v>
      </c>
      <c r="H23" s="427">
        <f t="shared" si="5"/>
        <v>6055008.0799999991</v>
      </c>
      <c r="I23" s="427">
        <f t="shared" si="5"/>
        <v>4097953.46</v>
      </c>
      <c r="J23" s="427">
        <f t="shared" si="5"/>
        <v>3225473.7800000003</v>
      </c>
      <c r="K23" s="427">
        <f t="shared" si="5"/>
        <v>2950496.8300000005</v>
      </c>
      <c r="L23" s="427">
        <f t="shared" si="5"/>
        <v>2930150.59</v>
      </c>
      <c r="M23" s="427">
        <f t="shared" si="5"/>
        <v>2926921.71</v>
      </c>
      <c r="N23" s="427">
        <f t="shared" si="5"/>
        <v>3286160.2699999996</v>
      </c>
      <c r="O23" s="427">
        <f t="shared" si="5"/>
        <v>4924377.6800000016</v>
      </c>
      <c r="P23" s="427">
        <f>SUM(P19:P22)</f>
        <v>8266923.2400000002</v>
      </c>
      <c r="Q23" s="427">
        <f>SUM(E23:P23)</f>
        <v>69577925.829999998</v>
      </c>
    </row>
    <row r="24" spans="1:18" x14ac:dyDescent="0.2">
      <c r="B24" s="430"/>
      <c r="C24" s="222"/>
    </row>
    <row r="25" spans="1:18" x14ac:dyDescent="0.2">
      <c r="A25" s="222">
        <f>A23+1</f>
        <v>7</v>
      </c>
      <c r="B25" s="430"/>
      <c r="C25" s="426" t="s">
        <v>284</v>
      </c>
    </row>
    <row r="26" spans="1:18" x14ac:dyDescent="0.2">
      <c r="A26" s="222">
        <f>A22+1</f>
        <v>9</v>
      </c>
      <c r="B26" s="259">
        <v>489</v>
      </c>
      <c r="C26" s="222" t="s">
        <v>234</v>
      </c>
      <c r="E26" s="427">
        <f t="shared" ref="E26:P26" si="6">E232</f>
        <v>1272310</v>
      </c>
      <c r="F26" s="427">
        <f t="shared" si="6"/>
        <v>1247886.8</v>
      </c>
      <c r="G26" s="427">
        <f t="shared" si="6"/>
        <v>1043190.34</v>
      </c>
      <c r="H26" s="427">
        <f t="shared" si="6"/>
        <v>776341.66</v>
      </c>
      <c r="I26" s="427">
        <f t="shared" si="6"/>
        <v>588766.57999999996</v>
      </c>
      <c r="J26" s="427">
        <f t="shared" si="6"/>
        <v>498639.04000000004</v>
      </c>
      <c r="K26" s="427">
        <f t="shared" si="6"/>
        <v>472720.92000000004</v>
      </c>
      <c r="L26" s="427">
        <f t="shared" si="6"/>
        <v>470125.52</v>
      </c>
      <c r="M26" s="427">
        <f t="shared" si="6"/>
        <v>473988.76</v>
      </c>
      <c r="N26" s="427">
        <f t="shared" si="6"/>
        <v>506718.42000000004</v>
      </c>
      <c r="O26" s="427">
        <f t="shared" si="6"/>
        <v>679055.82</v>
      </c>
      <c r="P26" s="427">
        <f t="shared" si="6"/>
        <v>999361.48</v>
      </c>
      <c r="Q26" s="427">
        <f>SUM(E26:P26)</f>
        <v>9029105.3399999999</v>
      </c>
      <c r="R26" s="428">
        <f>Q232</f>
        <v>9029105.3399999999</v>
      </c>
    </row>
    <row r="27" spans="1:18" x14ac:dyDescent="0.2">
      <c r="A27" s="222">
        <f t="shared" si="2"/>
        <v>10</v>
      </c>
      <c r="B27" s="259">
        <v>489</v>
      </c>
      <c r="C27" s="222" t="s">
        <v>235</v>
      </c>
      <c r="E27" s="240">
        <f t="shared" ref="E27:P27" si="7">E239+E253+E267+E308+E356+E315</f>
        <v>1045545.4199999999</v>
      </c>
      <c r="F27" s="240">
        <f t="shared" si="7"/>
        <v>1002643.9400000001</v>
      </c>
      <c r="G27" s="240">
        <f t="shared" si="7"/>
        <v>859208.1399999999</v>
      </c>
      <c r="H27" s="240">
        <f t="shared" si="7"/>
        <v>661629.26</v>
      </c>
      <c r="I27" s="240">
        <f t="shared" si="7"/>
        <v>526759.57999999996</v>
      </c>
      <c r="J27" s="240">
        <f t="shared" si="7"/>
        <v>464147.26999999996</v>
      </c>
      <c r="K27" s="240">
        <f t="shared" si="7"/>
        <v>452814.81999999995</v>
      </c>
      <c r="L27" s="240">
        <f t="shared" si="7"/>
        <v>442331.27999999991</v>
      </c>
      <c r="M27" s="240">
        <f t="shared" si="7"/>
        <v>458401.81000000006</v>
      </c>
      <c r="N27" s="240">
        <f t="shared" si="7"/>
        <v>523836.35999999993</v>
      </c>
      <c r="O27" s="240">
        <f t="shared" si="7"/>
        <v>653430.12999999989</v>
      </c>
      <c r="P27" s="240">
        <f t="shared" si="7"/>
        <v>891300.66</v>
      </c>
      <c r="Q27" s="240">
        <f t="shared" ref="Q27:Q33" si="8">SUM(E27:P27)</f>
        <v>7982048.6699999999</v>
      </c>
      <c r="R27" s="428">
        <f>Q239+Q253+Q267+Q308+Q315</f>
        <v>7982048.669999999</v>
      </c>
    </row>
    <row r="28" spans="1:18" x14ac:dyDescent="0.2">
      <c r="A28" s="222">
        <f t="shared" si="2"/>
        <v>11</v>
      </c>
      <c r="B28" s="259">
        <v>489</v>
      </c>
      <c r="C28" s="222" t="s">
        <v>236</v>
      </c>
      <c r="E28" s="240">
        <f t="shared" ref="E28:P28" si="9">E246+E260+E294+E301+E322+E329+E363</f>
        <v>495629.45</v>
      </c>
      <c r="F28" s="240">
        <f t="shared" si="9"/>
        <v>456422.12</v>
      </c>
      <c r="G28" s="240">
        <f t="shared" si="9"/>
        <v>430374.86000000004</v>
      </c>
      <c r="H28" s="240">
        <f t="shared" si="9"/>
        <v>386006.96</v>
      </c>
      <c r="I28" s="240">
        <f t="shared" si="9"/>
        <v>360381.88</v>
      </c>
      <c r="J28" s="240">
        <f t="shared" si="9"/>
        <v>340614.99000000005</v>
      </c>
      <c r="K28" s="240">
        <f t="shared" si="9"/>
        <v>320719.2</v>
      </c>
      <c r="L28" s="240">
        <f t="shared" si="9"/>
        <v>342350.69</v>
      </c>
      <c r="M28" s="240">
        <f t="shared" si="9"/>
        <v>358371.01</v>
      </c>
      <c r="N28" s="240">
        <f t="shared" si="9"/>
        <v>398943.59</v>
      </c>
      <c r="O28" s="240">
        <f t="shared" si="9"/>
        <v>436085.01999999996</v>
      </c>
      <c r="P28" s="240">
        <f t="shared" si="9"/>
        <v>637648.53</v>
      </c>
      <c r="Q28" s="240">
        <f t="shared" si="8"/>
        <v>4963548.3</v>
      </c>
      <c r="R28" s="428">
        <f>Q246+Q260+Q294+Q301+Q322+Q329+Q356+Q363</f>
        <v>4963548.3000000007</v>
      </c>
    </row>
    <row r="29" spans="1:18" x14ac:dyDescent="0.2">
      <c r="A29" s="222">
        <f>A28+1</f>
        <v>12</v>
      </c>
      <c r="B29" s="259">
        <v>487</v>
      </c>
      <c r="C29" s="222" t="s">
        <v>237</v>
      </c>
      <c r="E29" s="240">
        <f t="shared" ref="E29:P29" si="10">E369</f>
        <v>56000</v>
      </c>
      <c r="F29" s="240">
        <f t="shared" si="10"/>
        <v>79000</v>
      </c>
      <c r="G29" s="240">
        <f t="shared" si="10"/>
        <v>78000</v>
      </c>
      <c r="H29" s="240">
        <f t="shared" si="10"/>
        <v>74000</v>
      </c>
      <c r="I29" s="240">
        <f t="shared" si="10"/>
        <v>40000</v>
      </c>
      <c r="J29" s="240">
        <f t="shared" si="10"/>
        <v>25000</v>
      </c>
      <c r="K29" s="240">
        <f t="shared" si="10"/>
        <v>20000</v>
      </c>
      <c r="L29" s="240">
        <f t="shared" si="10"/>
        <v>19000</v>
      </c>
      <c r="M29" s="240">
        <f t="shared" si="10"/>
        <v>22000</v>
      </c>
      <c r="N29" s="240">
        <f t="shared" si="10"/>
        <v>11000</v>
      </c>
      <c r="O29" s="240">
        <f t="shared" si="10"/>
        <v>18000</v>
      </c>
      <c r="P29" s="240">
        <f t="shared" si="10"/>
        <v>34000</v>
      </c>
      <c r="Q29" s="240">
        <f t="shared" si="8"/>
        <v>476000</v>
      </c>
    </row>
    <row r="30" spans="1:18" x14ac:dyDescent="0.2">
      <c r="A30" s="222">
        <f t="shared" si="2"/>
        <v>13</v>
      </c>
      <c r="B30" s="259">
        <v>488</v>
      </c>
      <c r="C30" s="222" t="s">
        <v>238</v>
      </c>
      <c r="E30" s="240">
        <f t="shared" ref="E30:P30" si="11">E370</f>
        <v>8000</v>
      </c>
      <c r="F30" s="240">
        <f t="shared" si="11"/>
        <v>9000</v>
      </c>
      <c r="G30" s="240">
        <f t="shared" si="11"/>
        <v>11000</v>
      </c>
      <c r="H30" s="240">
        <f t="shared" si="11"/>
        <v>13000</v>
      </c>
      <c r="I30" s="240">
        <f t="shared" si="11"/>
        <v>10000</v>
      </c>
      <c r="J30" s="240">
        <f t="shared" si="11"/>
        <v>11000</v>
      </c>
      <c r="K30" s="240">
        <f t="shared" si="11"/>
        <v>9000</v>
      </c>
      <c r="L30" s="240">
        <f t="shared" si="11"/>
        <v>8000</v>
      </c>
      <c r="M30" s="240">
        <f t="shared" si="11"/>
        <v>9000</v>
      </c>
      <c r="N30" s="240">
        <f t="shared" si="11"/>
        <v>19000</v>
      </c>
      <c r="O30" s="240">
        <f t="shared" si="11"/>
        <v>20000</v>
      </c>
      <c r="P30" s="240">
        <f t="shared" si="11"/>
        <v>10000</v>
      </c>
      <c r="Q30" s="240">
        <f t="shared" si="8"/>
        <v>137000</v>
      </c>
    </row>
    <row r="31" spans="1:18" x14ac:dyDescent="0.2">
      <c r="A31" s="222">
        <f t="shared" si="2"/>
        <v>14</v>
      </c>
      <c r="B31" s="259">
        <v>493</v>
      </c>
      <c r="C31" s="222" t="s">
        <v>315</v>
      </c>
      <c r="E31" s="240">
        <f t="shared" ref="E31:P31" si="12">E371</f>
        <v>6000</v>
      </c>
      <c r="F31" s="240">
        <f t="shared" si="12"/>
        <v>6000</v>
      </c>
      <c r="G31" s="240">
        <f t="shared" si="12"/>
        <v>6000</v>
      </c>
      <c r="H31" s="240">
        <f t="shared" si="12"/>
        <v>6000</v>
      </c>
      <c r="I31" s="240">
        <f t="shared" si="12"/>
        <v>6000</v>
      </c>
      <c r="J31" s="240">
        <f t="shared" si="12"/>
        <v>6000</v>
      </c>
      <c r="K31" s="240">
        <f t="shared" si="12"/>
        <v>6000</v>
      </c>
      <c r="L31" s="240">
        <f t="shared" si="12"/>
        <v>6000</v>
      </c>
      <c r="M31" s="240">
        <f t="shared" si="12"/>
        <v>6000</v>
      </c>
      <c r="N31" s="240">
        <f t="shared" si="12"/>
        <v>6000</v>
      </c>
      <c r="O31" s="240">
        <f t="shared" si="12"/>
        <v>6000</v>
      </c>
      <c r="P31" s="240">
        <f t="shared" si="12"/>
        <v>6000</v>
      </c>
      <c r="Q31" s="240">
        <f t="shared" si="8"/>
        <v>72000</v>
      </c>
    </row>
    <row r="32" spans="1:18" x14ac:dyDescent="0.2">
      <c r="A32" s="222">
        <f t="shared" si="2"/>
        <v>15</v>
      </c>
      <c r="B32" s="259">
        <v>495</v>
      </c>
      <c r="C32" s="222" t="s">
        <v>239</v>
      </c>
      <c r="E32" s="240">
        <f t="shared" ref="E32:P32" si="13">E372</f>
        <v>0</v>
      </c>
      <c r="F32" s="240">
        <f t="shared" si="13"/>
        <v>0</v>
      </c>
      <c r="G32" s="240">
        <f t="shared" si="13"/>
        <v>0</v>
      </c>
      <c r="H32" s="240">
        <f t="shared" si="13"/>
        <v>0</v>
      </c>
      <c r="I32" s="240">
        <f t="shared" si="13"/>
        <v>0</v>
      </c>
      <c r="J32" s="240">
        <f t="shared" si="13"/>
        <v>0</v>
      </c>
      <c r="K32" s="240">
        <f t="shared" si="13"/>
        <v>0</v>
      </c>
      <c r="L32" s="240">
        <f t="shared" si="13"/>
        <v>0</v>
      </c>
      <c r="M32" s="240">
        <f t="shared" si="13"/>
        <v>0</v>
      </c>
      <c r="N32" s="240">
        <f t="shared" si="13"/>
        <v>0</v>
      </c>
      <c r="O32" s="240">
        <f t="shared" si="13"/>
        <v>0</v>
      </c>
      <c r="P32" s="240">
        <f t="shared" si="13"/>
        <v>0</v>
      </c>
      <c r="Q32" s="240">
        <f t="shared" si="8"/>
        <v>0</v>
      </c>
    </row>
    <row r="33" spans="1:17" x14ac:dyDescent="0.2">
      <c r="A33" s="222">
        <f t="shared" si="2"/>
        <v>16</v>
      </c>
      <c r="B33" s="259">
        <v>495</v>
      </c>
      <c r="C33" s="222" t="s">
        <v>240</v>
      </c>
      <c r="E33" s="431">
        <f t="shared" ref="E33:P33" si="14">E373</f>
        <v>66000</v>
      </c>
      <c r="F33" s="431">
        <f t="shared" si="14"/>
        <v>58000</v>
      </c>
      <c r="G33" s="431">
        <f t="shared" si="14"/>
        <v>61000</v>
      </c>
      <c r="H33" s="431">
        <f t="shared" si="14"/>
        <v>85000</v>
      </c>
      <c r="I33" s="431">
        <f t="shared" si="14"/>
        <v>24000</v>
      </c>
      <c r="J33" s="431">
        <f t="shared" si="14"/>
        <v>19000</v>
      </c>
      <c r="K33" s="431">
        <f t="shared" si="14"/>
        <v>16000</v>
      </c>
      <c r="L33" s="431">
        <f t="shared" si="14"/>
        <v>15000</v>
      </c>
      <c r="M33" s="431">
        <f t="shared" si="14"/>
        <v>16000</v>
      </c>
      <c r="N33" s="431">
        <f t="shared" si="14"/>
        <v>18000</v>
      </c>
      <c r="O33" s="431">
        <f t="shared" si="14"/>
        <v>25000</v>
      </c>
      <c r="P33" s="431">
        <f t="shared" si="14"/>
        <v>112000</v>
      </c>
      <c r="Q33" s="431">
        <f t="shared" si="8"/>
        <v>515000</v>
      </c>
    </row>
    <row r="34" spans="1:17" x14ac:dyDescent="0.2">
      <c r="A34" s="222">
        <f>A33+1</f>
        <v>17</v>
      </c>
      <c r="B34" s="222"/>
      <c r="C34" s="222" t="s">
        <v>285</v>
      </c>
      <c r="E34" s="427">
        <f t="shared" ref="E34:Q34" si="15">SUM(E26:E33)</f>
        <v>2949484.87</v>
      </c>
      <c r="F34" s="427">
        <f t="shared" si="15"/>
        <v>2858952.8600000003</v>
      </c>
      <c r="G34" s="427">
        <f t="shared" si="15"/>
        <v>2488773.34</v>
      </c>
      <c r="H34" s="427">
        <f t="shared" si="15"/>
        <v>2001977.88</v>
      </c>
      <c r="I34" s="427">
        <f t="shared" si="15"/>
        <v>1555908.04</v>
      </c>
      <c r="J34" s="427">
        <f t="shared" si="15"/>
        <v>1364401.3</v>
      </c>
      <c r="K34" s="427">
        <f t="shared" si="15"/>
        <v>1297254.94</v>
      </c>
      <c r="L34" s="427">
        <f t="shared" si="15"/>
        <v>1302807.49</v>
      </c>
      <c r="M34" s="427">
        <f t="shared" si="15"/>
        <v>1343761.58</v>
      </c>
      <c r="N34" s="427">
        <f t="shared" si="15"/>
        <v>1483498.37</v>
      </c>
      <c r="O34" s="427">
        <f t="shared" si="15"/>
        <v>1837570.9699999997</v>
      </c>
      <c r="P34" s="427">
        <f t="shared" si="15"/>
        <v>2690310.67</v>
      </c>
      <c r="Q34" s="427">
        <f t="shared" si="15"/>
        <v>23174702.309999999</v>
      </c>
    </row>
    <row r="35" spans="1:17" x14ac:dyDescent="0.2">
      <c r="B35" s="222"/>
      <c r="C35" s="222"/>
    </row>
    <row r="36" spans="1:17" x14ac:dyDescent="0.2">
      <c r="A36" s="222">
        <f>A34+1</f>
        <v>18</v>
      </c>
      <c r="B36" s="222"/>
      <c r="C36" s="222" t="s">
        <v>228</v>
      </c>
      <c r="E36" s="427">
        <f t="shared" ref="E36:P36" si="16">E23+E34</f>
        <v>14153271.710000001</v>
      </c>
      <c r="F36" s="427">
        <f t="shared" si="16"/>
        <v>13861385.34</v>
      </c>
      <c r="G36" s="427">
        <f t="shared" si="16"/>
        <v>11197014.209999999</v>
      </c>
      <c r="H36" s="427">
        <f t="shared" si="16"/>
        <v>8056985.959999999</v>
      </c>
      <c r="I36" s="427">
        <f t="shared" si="16"/>
        <v>5653861.5</v>
      </c>
      <c r="J36" s="427">
        <f t="shared" si="16"/>
        <v>4589875.08</v>
      </c>
      <c r="K36" s="427">
        <f t="shared" si="16"/>
        <v>4247751.7700000005</v>
      </c>
      <c r="L36" s="427">
        <f t="shared" si="16"/>
        <v>4232958.08</v>
      </c>
      <c r="M36" s="427">
        <f t="shared" si="16"/>
        <v>4270683.29</v>
      </c>
      <c r="N36" s="427">
        <f t="shared" si="16"/>
        <v>4769658.6399999997</v>
      </c>
      <c r="O36" s="427">
        <f t="shared" si="16"/>
        <v>6761948.6500000013</v>
      </c>
      <c r="P36" s="427">
        <f t="shared" si="16"/>
        <v>10957233.91</v>
      </c>
      <c r="Q36" s="427">
        <f>SUM(E36:P36)</f>
        <v>92752628.140000001</v>
      </c>
    </row>
    <row r="37" spans="1:17" x14ac:dyDescent="0.2">
      <c r="B37" s="222"/>
      <c r="C37" s="222"/>
    </row>
    <row r="38" spans="1:17" x14ac:dyDescent="0.2">
      <c r="B38" s="222"/>
      <c r="C38" s="222"/>
      <c r="E38" s="290"/>
      <c r="G38" s="290"/>
      <c r="I38" s="290"/>
      <c r="Q38" s="290"/>
    </row>
    <row r="39" spans="1:17" x14ac:dyDescent="0.2">
      <c r="B39" s="222"/>
      <c r="C39" s="222"/>
      <c r="E39" s="290"/>
      <c r="G39" s="290"/>
      <c r="I39" s="290"/>
    </row>
    <row r="40" spans="1:17" x14ac:dyDescent="0.2">
      <c r="B40" s="222"/>
      <c r="C40" s="222"/>
      <c r="E40" s="290"/>
      <c r="G40" s="290"/>
      <c r="I40" s="290"/>
    </row>
    <row r="41" spans="1:17" x14ac:dyDescent="0.2">
      <c r="B41" s="222"/>
      <c r="C41" s="222"/>
      <c r="E41" s="290"/>
      <c r="G41" s="290"/>
      <c r="I41" s="290"/>
    </row>
    <row r="42" spans="1:17" x14ac:dyDescent="0.2">
      <c r="B42" s="222"/>
      <c r="C42" s="222"/>
      <c r="E42" s="290"/>
      <c r="G42" s="290"/>
      <c r="I42" s="290"/>
    </row>
    <row r="43" spans="1:17" x14ac:dyDescent="0.2">
      <c r="B43" s="222"/>
      <c r="C43" s="222"/>
      <c r="E43" s="245"/>
      <c r="F43" s="245"/>
      <c r="G43" s="245"/>
      <c r="H43" s="245"/>
      <c r="J43" s="245"/>
      <c r="K43" s="245"/>
      <c r="L43" s="245"/>
      <c r="M43" s="245"/>
      <c r="N43" s="245"/>
      <c r="O43" s="245"/>
    </row>
    <row r="44" spans="1:17" x14ac:dyDescent="0.2">
      <c r="B44" s="222"/>
      <c r="C44" s="222"/>
      <c r="E44" s="245"/>
      <c r="F44" s="245"/>
      <c r="G44" s="245"/>
      <c r="H44" s="245"/>
      <c r="J44" s="245"/>
      <c r="K44" s="245"/>
      <c r="L44" s="245"/>
      <c r="M44" s="245"/>
      <c r="N44" s="245"/>
      <c r="O44" s="245"/>
    </row>
    <row r="45" spans="1:17" x14ac:dyDescent="0.2">
      <c r="B45" s="222"/>
      <c r="C45" s="222"/>
      <c r="E45" s="245"/>
      <c r="F45" s="245"/>
      <c r="G45" s="245"/>
      <c r="H45" s="245"/>
      <c r="J45" s="245"/>
      <c r="K45" s="245"/>
      <c r="L45" s="245"/>
      <c r="M45" s="245"/>
      <c r="N45" s="245"/>
      <c r="O45" s="245"/>
    </row>
    <row r="46" spans="1:17" x14ac:dyDescent="0.2">
      <c r="B46" s="222"/>
      <c r="C46" s="222"/>
      <c r="E46" s="245"/>
      <c r="F46" s="245"/>
      <c r="G46" s="245"/>
      <c r="H46" s="245"/>
      <c r="J46" s="245"/>
      <c r="K46" s="245"/>
      <c r="L46" s="245"/>
      <c r="M46" s="245"/>
      <c r="N46" s="245"/>
      <c r="O46" s="245"/>
    </row>
    <row r="47" spans="1:17" x14ac:dyDescent="0.2">
      <c r="A47" s="993" t="str">
        <f>CONAME</f>
        <v>Columbia Gas of Kentucky, Inc.</v>
      </c>
      <c r="B47" s="993"/>
      <c r="C47" s="993"/>
      <c r="D47" s="993"/>
      <c r="E47" s="993"/>
      <c r="F47" s="993"/>
      <c r="G47" s="993"/>
      <c r="H47" s="993"/>
      <c r="I47" s="993"/>
      <c r="J47" s="993"/>
      <c r="K47" s="993"/>
      <c r="L47" s="993"/>
      <c r="M47" s="993"/>
      <c r="N47" s="993"/>
      <c r="O47" s="993"/>
      <c r="P47" s="993"/>
      <c r="Q47" s="993"/>
    </row>
    <row r="48" spans="1:17" x14ac:dyDescent="0.2">
      <c r="A48" s="981" t="str">
        <f>case</f>
        <v>Case No. 2016-00162</v>
      </c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1"/>
      <c r="M48" s="981"/>
      <c r="N48" s="981"/>
      <c r="O48" s="981"/>
      <c r="P48" s="981"/>
      <c r="Q48" s="981"/>
    </row>
    <row r="49" spans="1:18" x14ac:dyDescent="0.2">
      <c r="A49" s="994" t="s">
        <v>494</v>
      </c>
      <c r="B49" s="994"/>
      <c r="C49" s="994"/>
      <c r="D49" s="994"/>
      <c r="E49" s="994"/>
      <c r="F49" s="994"/>
      <c r="G49" s="994"/>
      <c r="H49" s="994"/>
      <c r="I49" s="994"/>
      <c r="J49" s="994"/>
      <c r="K49" s="994"/>
      <c r="L49" s="994"/>
      <c r="M49" s="994"/>
      <c r="N49" s="994"/>
      <c r="O49" s="994"/>
      <c r="P49" s="994"/>
      <c r="Q49" s="994"/>
    </row>
    <row r="50" spans="1:18" x14ac:dyDescent="0.2">
      <c r="A50" s="993" t="str">
        <f>TYDESC</f>
        <v>For the 12 Months Ended December 31, 2017</v>
      </c>
      <c r="B50" s="993"/>
      <c r="C50" s="993"/>
      <c r="D50" s="993"/>
      <c r="E50" s="993"/>
      <c r="F50" s="993"/>
      <c r="G50" s="993"/>
      <c r="H50" s="993"/>
      <c r="I50" s="993"/>
      <c r="J50" s="993"/>
      <c r="K50" s="993"/>
      <c r="L50" s="993"/>
      <c r="M50" s="993"/>
      <c r="N50" s="993"/>
      <c r="O50" s="993"/>
      <c r="P50" s="993"/>
      <c r="Q50" s="993"/>
    </row>
    <row r="51" spans="1:18" x14ac:dyDescent="0.2">
      <c r="A51" s="991" t="s">
        <v>39</v>
      </c>
      <c r="B51" s="991"/>
      <c r="C51" s="991"/>
      <c r="D51" s="991"/>
      <c r="E51" s="991"/>
      <c r="F51" s="991"/>
      <c r="G51" s="991"/>
      <c r="H51" s="991"/>
      <c r="I51" s="991"/>
      <c r="J51" s="991"/>
      <c r="K51" s="991"/>
      <c r="L51" s="991"/>
      <c r="M51" s="991"/>
      <c r="N51" s="991"/>
      <c r="O51" s="991"/>
      <c r="P51" s="991"/>
      <c r="Q51" s="991"/>
    </row>
    <row r="52" spans="1:18" x14ac:dyDescent="0.2">
      <c r="A52" s="262" t="s">
        <v>527</v>
      </c>
    </row>
    <row r="53" spans="1:18" x14ac:dyDescent="0.2">
      <c r="A53" s="262" t="s">
        <v>528</v>
      </c>
      <c r="Q53" s="413" t="s">
        <v>399</v>
      </c>
    </row>
    <row r="54" spans="1:18" x14ac:dyDescent="0.2">
      <c r="A54" s="433" t="s">
        <v>63</v>
      </c>
      <c r="Q54" s="413" t="s">
        <v>497</v>
      </c>
    </row>
    <row r="55" spans="1:18" x14ac:dyDescent="0.2">
      <c r="A55" s="434" t="s">
        <v>302</v>
      </c>
      <c r="Q55" s="413" t="str">
        <f>Witness</f>
        <v>Witness:  M. J. Bell</v>
      </c>
    </row>
    <row r="56" spans="1:18" x14ac:dyDescent="0.2">
      <c r="A56" s="992" t="s">
        <v>194</v>
      </c>
      <c r="B56" s="992"/>
      <c r="C56" s="992"/>
      <c r="D56" s="992"/>
      <c r="E56" s="992"/>
      <c r="F56" s="992"/>
      <c r="G56" s="992"/>
      <c r="H56" s="992"/>
      <c r="I56" s="992"/>
      <c r="J56" s="992"/>
      <c r="K56" s="992"/>
      <c r="L56" s="992"/>
      <c r="M56" s="992"/>
      <c r="N56" s="992"/>
      <c r="O56" s="992"/>
      <c r="P56" s="992"/>
      <c r="Q56" s="992"/>
    </row>
    <row r="57" spans="1:18" x14ac:dyDescent="0.2">
      <c r="A57" s="433"/>
      <c r="B57" s="301"/>
      <c r="C57" s="301"/>
      <c r="D57" s="300"/>
      <c r="E57" s="301"/>
      <c r="F57" s="415"/>
      <c r="G57" s="435"/>
      <c r="H57" s="415"/>
      <c r="I57" s="436"/>
      <c r="J57" s="415"/>
      <c r="K57" s="415"/>
      <c r="L57" s="415"/>
      <c r="M57" s="415"/>
      <c r="N57" s="415"/>
      <c r="O57" s="415"/>
      <c r="P57" s="415"/>
      <c r="Q57" s="301"/>
    </row>
    <row r="58" spans="1:18" x14ac:dyDescent="0.2">
      <c r="A58" s="410"/>
      <c r="B58" s="224"/>
      <c r="C58" s="224"/>
      <c r="D58" s="416"/>
      <c r="E58" s="417"/>
      <c r="F58" s="418"/>
      <c r="G58" s="417"/>
      <c r="H58" s="419"/>
      <c r="I58" s="417"/>
      <c r="J58" s="417"/>
      <c r="K58" s="417"/>
      <c r="L58" s="417"/>
      <c r="M58" s="417"/>
      <c r="N58" s="417"/>
      <c r="O58" s="224"/>
      <c r="P58" s="224"/>
      <c r="Q58" s="224"/>
    </row>
    <row r="59" spans="1:18" x14ac:dyDescent="0.2">
      <c r="A59" s="410" t="s">
        <v>1</v>
      </c>
      <c r="B59" s="224" t="s">
        <v>0</v>
      </c>
      <c r="C59" s="224" t="s">
        <v>41</v>
      </c>
      <c r="D59" s="416" t="s">
        <v>47</v>
      </c>
      <c r="E59" s="417"/>
      <c r="F59" s="418"/>
      <c r="G59" s="417"/>
      <c r="H59" s="419"/>
      <c r="I59" s="417"/>
      <c r="J59" s="417"/>
      <c r="K59" s="417"/>
      <c r="L59" s="417"/>
      <c r="M59" s="417"/>
      <c r="N59" s="417"/>
      <c r="O59" s="229"/>
      <c r="P59" s="229"/>
      <c r="Q59" s="229"/>
    </row>
    <row r="60" spans="1:18" x14ac:dyDescent="0.2">
      <c r="A60" s="281" t="s">
        <v>3</v>
      </c>
      <c r="B60" s="226" t="s">
        <v>40</v>
      </c>
      <c r="C60" s="226" t="s">
        <v>4</v>
      </c>
      <c r="D60" s="420" t="s">
        <v>48</v>
      </c>
      <c r="E60" s="421" t="str">
        <f>B!$D$11</f>
        <v>Jan-17</v>
      </c>
      <c r="F60" s="421" t="str">
        <f>B!$E$11</f>
        <v>Feb-17</v>
      </c>
      <c r="G60" s="421" t="str">
        <f>B!$F$11</f>
        <v>Mar-17</v>
      </c>
      <c r="H60" s="421" t="str">
        <f>B!$G$11</f>
        <v>Apr-17</v>
      </c>
      <c r="I60" s="421" t="str">
        <f>B!$H$11</f>
        <v>May-17</v>
      </c>
      <c r="J60" s="421" t="str">
        <f>B!$I$11</f>
        <v>Jun-17</v>
      </c>
      <c r="K60" s="421" t="str">
        <f>B!$J$11</f>
        <v>Jul-17</v>
      </c>
      <c r="L60" s="421" t="str">
        <f>B!$K$11</f>
        <v>Aug-17</v>
      </c>
      <c r="M60" s="421" t="str">
        <f>B!$L$11</f>
        <v>Sep-17</v>
      </c>
      <c r="N60" s="421" t="str">
        <f>B!$M$11</f>
        <v>Oct-17</v>
      </c>
      <c r="O60" s="421" t="str">
        <f>B!$N$11</f>
        <v>Nov-17</v>
      </c>
      <c r="P60" s="421" t="str">
        <f>B!$O$11</f>
        <v>Dec-17</v>
      </c>
      <c r="Q60" s="422" t="s">
        <v>9</v>
      </c>
      <c r="R60" s="282"/>
    </row>
    <row r="61" spans="1:18" x14ac:dyDescent="0.2">
      <c r="A61" s="410"/>
      <c r="B61" s="229" t="s">
        <v>42</v>
      </c>
      <c r="C61" s="229" t="s">
        <v>43</v>
      </c>
      <c r="D61" s="423" t="s">
        <v>45</v>
      </c>
      <c r="E61" s="424" t="s">
        <v>46</v>
      </c>
      <c r="F61" s="424" t="s">
        <v>49</v>
      </c>
      <c r="G61" s="424" t="s">
        <v>50</v>
      </c>
      <c r="H61" s="424" t="s">
        <v>51</v>
      </c>
      <c r="I61" s="424" t="s">
        <v>52</v>
      </c>
      <c r="J61" s="424" t="s">
        <v>53</v>
      </c>
      <c r="K61" s="425" t="s">
        <v>54</v>
      </c>
      <c r="L61" s="425" t="s">
        <v>55</v>
      </c>
      <c r="M61" s="425" t="s">
        <v>56</v>
      </c>
      <c r="N61" s="425" t="s">
        <v>57</v>
      </c>
      <c r="O61" s="425" t="s">
        <v>58</v>
      </c>
      <c r="P61" s="425" t="s">
        <v>59</v>
      </c>
      <c r="Q61" s="425" t="s">
        <v>203</v>
      </c>
      <c r="R61" s="229"/>
    </row>
    <row r="62" spans="1:18" x14ac:dyDescent="0.2">
      <c r="E62" s="229"/>
      <c r="F62" s="425"/>
      <c r="G62" s="437"/>
      <c r="H62" s="425"/>
      <c r="I62" s="424"/>
      <c r="J62" s="425"/>
      <c r="K62" s="425"/>
      <c r="L62" s="425"/>
      <c r="M62" s="425"/>
      <c r="N62" s="425"/>
      <c r="O62" s="425"/>
      <c r="P62" s="425"/>
      <c r="Q62" s="229"/>
    </row>
    <row r="63" spans="1:18" x14ac:dyDescent="0.2">
      <c r="A63" s="222">
        <v>1</v>
      </c>
      <c r="C63" s="438" t="s">
        <v>94</v>
      </c>
    </row>
    <row r="65" spans="1:17" x14ac:dyDescent="0.2">
      <c r="A65" s="222">
        <f>A63+1</f>
        <v>2</v>
      </c>
      <c r="B65" s="219" t="str">
        <f>Input!A19</f>
        <v>GSR</v>
      </c>
      <c r="C65" s="219" t="str">
        <f>'Sch M 2.1'!B19</f>
        <v>General Service - Residential</v>
      </c>
      <c r="G65" s="290"/>
      <c r="H65" s="288"/>
      <c r="Q65" s="290"/>
    </row>
    <row r="66" spans="1:17" x14ac:dyDescent="0.2">
      <c r="A66" s="222">
        <f>A65+1</f>
        <v>3</v>
      </c>
      <c r="C66" s="444" t="s">
        <v>219</v>
      </c>
      <c r="E66" s="240">
        <f t="shared" ref="E66:P66" si="17">E400</f>
        <v>99289</v>
      </c>
      <c r="F66" s="240">
        <f t="shared" si="17"/>
        <v>99473</v>
      </c>
      <c r="G66" s="240">
        <f t="shared" si="17"/>
        <v>99542</v>
      </c>
      <c r="H66" s="240">
        <f t="shared" si="17"/>
        <v>99522</v>
      </c>
      <c r="I66" s="240">
        <f t="shared" si="17"/>
        <v>99040</v>
      </c>
      <c r="J66" s="240">
        <f t="shared" si="17"/>
        <v>98094</v>
      </c>
      <c r="K66" s="240">
        <f t="shared" si="17"/>
        <v>97239</v>
      </c>
      <c r="L66" s="240">
        <f t="shared" si="17"/>
        <v>97617</v>
      </c>
      <c r="M66" s="240">
        <f t="shared" si="17"/>
        <v>96979</v>
      </c>
      <c r="N66" s="240">
        <f t="shared" si="17"/>
        <v>96955</v>
      </c>
      <c r="O66" s="240">
        <f t="shared" si="17"/>
        <v>97991</v>
      </c>
      <c r="P66" s="240">
        <f t="shared" si="17"/>
        <v>98925</v>
      </c>
      <c r="Q66" s="240">
        <f>SUM(E66:P66)</f>
        <v>1180666</v>
      </c>
    </row>
    <row r="67" spans="1:17" x14ac:dyDescent="0.2">
      <c r="A67" s="222">
        <f>A66+1</f>
        <v>4</v>
      </c>
      <c r="C67" s="444" t="s">
        <v>567</v>
      </c>
      <c r="E67" s="245">
        <f t="shared" ref="E67:P67" si="18">E404</f>
        <v>1331907.1000000001</v>
      </c>
      <c r="F67" s="245">
        <f t="shared" si="18"/>
        <v>1291151.8</v>
      </c>
      <c r="G67" s="245">
        <f t="shared" si="18"/>
        <v>968403</v>
      </c>
      <c r="H67" s="245">
        <f t="shared" si="18"/>
        <v>552553.4</v>
      </c>
      <c r="I67" s="245">
        <f t="shared" si="18"/>
        <v>259776.40000000002</v>
      </c>
      <c r="J67" s="245">
        <f t="shared" si="18"/>
        <v>123911.3</v>
      </c>
      <c r="K67" s="245">
        <f t="shared" si="18"/>
        <v>88930</v>
      </c>
      <c r="L67" s="245">
        <f t="shared" si="18"/>
        <v>85940.7</v>
      </c>
      <c r="M67" s="245">
        <f t="shared" si="18"/>
        <v>88922.9</v>
      </c>
      <c r="N67" s="245">
        <f t="shared" si="18"/>
        <v>141784.29999999999</v>
      </c>
      <c r="O67" s="245">
        <f t="shared" si="18"/>
        <v>408542.4</v>
      </c>
      <c r="P67" s="245">
        <f t="shared" si="18"/>
        <v>906257.2</v>
      </c>
      <c r="Q67" s="245">
        <f>SUM(E67:P67)</f>
        <v>6248080.5000000009</v>
      </c>
    </row>
    <row r="68" spans="1:17" x14ac:dyDescent="0.2">
      <c r="A68" s="222">
        <f>A67+1</f>
        <v>5</v>
      </c>
      <c r="C68" s="444" t="s">
        <v>221</v>
      </c>
      <c r="E68" s="427">
        <f>E407+E417</f>
        <v>4900970.6500000004</v>
      </c>
      <c r="F68" s="427">
        <f t="shared" ref="F68:P68" si="19">F407+F417</f>
        <v>4808810.4799999995</v>
      </c>
      <c r="G68" s="427">
        <f t="shared" si="19"/>
        <v>4054073.83</v>
      </c>
      <c r="H68" s="427">
        <f t="shared" si="19"/>
        <v>3079670.5100000002</v>
      </c>
      <c r="I68" s="427">
        <f t="shared" si="19"/>
        <v>2385251.86</v>
      </c>
      <c r="J68" s="427">
        <f t="shared" si="19"/>
        <v>2050043.79</v>
      </c>
      <c r="K68" s="427">
        <f t="shared" si="19"/>
        <v>1952768.4</v>
      </c>
      <c r="L68" s="427">
        <f t="shared" si="19"/>
        <v>1952547.88</v>
      </c>
      <c r="M68" s="427">
        <f t="shared" si="19"/>
        <v>1948087.38</v>
      </c>
      <c r="N68" s="427">
        <f t="shared" si="19"/>
        <v>2071474.06</v>
      </c>
      <c r="O68" s="427">
        <f t="shared" si="19"/>
        <v>2714887.4000000004</v>
      </c>
      <c r="P68" s="427">
        <f t="shared" si="19"/>
        <v>3897440.74</v>
      </c>
      <c r="Q68" s="427">
        <f>SUM(E68:P68)</f>
        <v>35816026.979999997</v>
      </c>
    </row>
    <row r="69" spans="1:17" x14ac:dyDescent="0.2">
      <c r="A69" s="222">
        <f>A68+1</f>
        <v>6</v>
      </c>
      <c r="C69" s="444" t="s">
        <v>222</v>
      </c>
      <c r="E69" s="427">
        <f t="shared" ref="E69:P69" si="20">E409</f>
        <v>2942315.97</v>
      </c>
      <c r="F69" s="427">
        <f t="shared" si="20"/>
        <v>2852283.44</v>
      </c>
      <c r="G69" s="427">
        <f t="shared" si="20"/>
        <v>2139299.0699999998</v>
      </c>
      <c r="H69" s="427">
        <f t="shared" si="20"/>
        <v>1220645.72</v>
      </c>
      <c r="I69" s="427">
        <f t="shared" si="20"/>
        <v>573872.05000000005</v>
      </c>
      <c r="J69" s="427">
        <f t="shared" si="20"/>
        <v>273732.45</v>
      </c>
      <c r="K69" s="427">
        <f t="shared" si="20"/>
        <v>196455.26</v>
      </c>
      <c r="L69" s="427">
        <f t="shared" si="20"/>
        <v>189851.6</v>
      </c>
      <c r="M69" s="427">
        <f t="shared" si="20"/>
        <v>196439.58</v>
      </c>
      <c r="N69" s="427">
        <f t="shared" si="20"/>
        <v>313215.7</v>
      </c>
      <c r="O69" s="427">
        <f t="shared" si="20"/>
        <v>902511.02</v>
      </c>
      <c r="P69" s="427">
        <f t="shared" si="20"/>
        <v>2002012.78</v>
      </c>
      <c r="Q69" s="427">
        <f>SUM(E69:P69)</f>
        <v>13802634.639999999</v>
      </c>
    </row>
    <row r="70" spans="1:17" x14ac:dyDescent="0.2">
      <c r="A70" s="446">
        <f>A69+1</f>
        <v>7</v>
      </c>
      <c r="B70" s="447"/>
      <c r="C70" s="448" t="s">
        <v>568</v>
      </c>
      <c r="D70" s="449"/>
      <c r="E70" s="450">
        <f t="shared" ref="E70:P70" si="21">E419</f>
        <v>7843286.6199999992</v>
      </c>
      <c r="F70" s="450">
        <f t="shared" si="21"/>
        <v>7661093.919999999</v>
      </c>
      <c r="G70" s="450">
        <f t="shared" si="21"/>
        <v>6193372.9000000004</v>
      </c>
      <c r="H70" s="450">
        <f t="shared" si="21"/>
        <v>4300316.2299999995</v>
      </c>
      <c r="I70" s="450">
        <f t="shared" si="21"/>
        <v>2959123.91</v>
      </c>
      <c r="J70" s="450">
        <f t="shared" si="21"/>
        <v>2323776.2400000002</v>
      </c>
      <c r="K70" s="450">
        <f t="shared" si="21"/>
        <v>2149223.66</v>
      </c>
      <c r="L70" s="450">
        <f t="shared" si="21"/>
        <v>2142399.48</v>
      </c>
      <c r="M70" s="450">
        <f t="shared" si="21"/>
        <v>2144526.96</v>
      </c>
      <c r="N70" s="450">
        <f t="shared" si="21"/>
        <v>2384689.7600000002</v>
      </c>
      <c r="O70" s="450">
        <f t="shared" si="21"/>
        <v>3617398.4200000004</v>
      </c>
      <c r="P70" s="450">
        <f t="shared" si="21"/>
        <v>5899453.5200000005</v>
      </c>
      <c r="Q70" s="450">
        <f>SUM(E70:P70)</f>
        <v>49618661.620000005</v>
      </c>
    </row>
    <row r="71" spans="1:17" x14ac:dyDescent="0.2">
      <c r="G71" s="290"/>
      <c r="H71" s="288"/>
      <c r="Q71" s="290"/>
    </row>
    <row r="72" spans="1:17" x14ac:dyDescent="0.2">
      <c r="A72" s="222">
        <f>A70+1</f>
        <v>8</v>
      </c>
      <c r="B72" s="219" t="str">
        <f>Input!A20</f>
        <v>G1C</v>
      </c>
      <c r="C72" s="219" t="str">
        <f>'Sch M 2.1'!B20</f>
        <v>LG&amp;E Commercial</v>
      </c>
      <c r="G72" s="290"/>
      <c r="Q72" s="290"/>
    </row>
    <row r="73" spans="1:17" x14ac:dyDescent="0.2">
      <c r="A73" s="222">
        <f>A72+1</f>
        <v>9</v>
      </c>
      <c r="C73" s="444" t="s">
        <v>219</v>
      </c>
      <c r="E73" s="240">
        <f t="shared" ref="E73:P73" si="22">E426</f>
        <v>3</v>
      </c>
      <c r="F73" s="240">
        <f t="shared" si="22"/>
        <v>3</v>
      </c>
      <c r="G73" s="240">
        <f t="shared" si="22"/>
        <v>4</v>
      </c>
      <c r="H73" s="240">
        <f t="shared" si="22"/>
        <v>4</v>
      </c>
      <c r="I73" s="240">
        <f t="shared" si="22"/>
        <v>4</v>
      </c>
      <c r="J73" s="240">
        <f t="shared" si="22"/>
        <v>4</v>
      </c>
      <c r="K73" s="240">
        <f t="shared" si="22"/>
        <v>4</v>
      </c>
      <c r="L73" s="240">
        <f t="shared" si="22"/>
        <v>3</v>
      </c>
      <c r="M73" s="240">
        <f t="shared" si="22"/>
        <v>3</v>
      </c>
      <c r="N73" s="240">
        <f t="shared" si="22"/>
        <v>3</v>
      </c>
      <c r="O73" s="240">
        <f t="shared" si="22"/>
        <v>3</v>
      </c>
      <c r="P73" s="240">
        <f t="shared" si="22"/>
        <v>3</v>
      </c>
      <c r="Q73" s="240">
        <f>SUM(E73:P73)</f>
        <v>41</v>
      </c>
    </row>
    <row r="74" spans="1:17" x14ac:dyDescent="0.2">
      <c r="A74" s="222">
        <f>A73+1</f>
        <v>10</v>
      </c>
      <c r="C74" s="444" t="s">
        <v>567</v>
      </c>
      <c r="E74" s="245">
        <f t="shared" ref="E74:P74" si="23">E429</f>
        <v>307.2</v>
      </c>
      <c r="F74" s="245">
        <f t="shared" si="23"/>
        <v>374.8</v>
      </c>
      <c r="G74" s="245">
        <f t="shared" si="23"/>
        <v>373.1</v>
      </c>
      <c r="H74" s="245">
        <f t="shared" si="23"/>
        <v>173.3</v>
      </c>
      <c r="I74" s="245">
        <f t="shared" si="23"/>
        <v>68.900000000000006</v>
      </c>
      <c r="J74" s="245">
        <f t="shared" si="23"/>
        <v>18</v>
      </c>
      <c r="K74" s="245">
        <f t="shared" si="23"/>
        <v>29.1</v>
      </c>
      <c r="L74" s="245">
        <f t="shared" si="23"/>
        <v>16.7</v>
      </c>
      <c r="M74" s="245">
        <f t="shared" si="23"/>
        <v>8.8000000000000007</v>
      </c>
      <c r="N74" s="245">
        <f t="shared" si="23"/>
        <v>22.2</v>
      </c>
      <c r="O74" s="245">
        <f t="shared" si="23"/>
        <v>83.3</v>
      </c>
      <c r="P74" s="245">
        <f t="shared" si="23"/>
        <v>222.4</v>
      </c>
      <c r="Q74" s="245">
        <f>SUM(E74:P74)</f>
        <v>1697.8</v>
      </c>
    </row>
    <row r="75" spans="1:17" x14ac:dyDescent="0.2">
      <c r="A75" s="222">
        <f>A74+1</f>
        <v>11</v>
      </c>
      <c r="C75" s="444" t="s">
        <v>221</v>
      </c>
      <c r="E75" s="427">
        <f t="shared" ref="E75:P75" si="24">E432</f>
        <v>833.02</v>
      </c>
      <c r="F75" s="427">
        <f t="shared" si="24"/>
        <v>978.75</v>
      </c>
      <c r="G75" s="427">
        <f t="shared" si="24"/>
        <v>1032.01</v>
      </c>
      <c r="H75" s="427">
        <f t="shared" si="24"/>
        <v>601.28</v>
      </c>
      <c r="I75" s="427">
        <f t="shared" si="24"/>
        <v>376.21000000000004</v>
      </c>
      <c r="J75" s="427">
        <f t="shared" si="24"/>
        <v>266.48</v>
      </c>
      <c r="K75" s="427">
        <f t="shared" si="24"/>
        <v>290.41000000000003</v>
      </c>
      <c r="L75" s="427">
        <f t="shared" si="24"/>
        <v>206.76</v>
      </c>
      <c r="M75" s="427">
        <f t="shared" si="24"/>
        <v>189.73</v>
      </c>
      <c r="N75" s="427">
        <f t="shared" si="24"/>
        <v>218.62</v>
      </c>
      <c r="O75" s="427">
        <f t="shared" si="24"/>
        <v>350.34000000000003</v>
      </c>
      <c r="P75" s="427">
        <f t="shared" si="24"/>
        <v>650.21</v>
      </c>
      <c r="Q75" s="427">
        <f>SUM(E75:P75)</f>
        <v>5993.82</v>
      </c>
    </row>
    <row r="76" spans="1:17" x14ac:dyDescent="0.2">
      <c r="A76" s="222">
        <f>A75+1</f>
        <v>12</v>
      </c>
      <c r="C76" s="444" t="s">
        <v>222</v>
      </c>
      <c r="E76" s="427">
        <f t="shared" ref="E76:P76" si="25">E434</f>
        <v>678.64</v>
      </c>
      <c r="F76" s="427">
        <f t="shared" si="25"/>
        <v>827.97</v>
      </c>
      <c r="G76" s="427">
        <f t="shared" si="25"/>
        <v>824.22</v>
      </c>
      <c r="H76" s="427">
        <f t="shared" si="25"/>
        <v>382.84</v>
      </c>
      <c r="I76" s="427">
        <f t="shared" si="25"/>
        <v>152.21</v>
      </c>
      <c r="J76" s="427">
        <f t="shared" si="25"/>
        <v>39.76</v>
      </c>
      <c r="K76" s="427">
        <f t="shared" si="25"/>
        <v>64.28</v>
      </c>
      <c r="L76" s="427">
        <f t="shared" si="25"/>
        <v>36.89</v>
      </c>
      <c r="M76" s="427">
        <f t="shared" si="25"/>
        <v>19.440000000000001</v>
      </c>
      <c r="N76" s="427">
        <f t="shared" si="25"/>
        <v>49.04</v>
      </c>
      <c r="O76" s="427">
        <f t="shared" si="25"/>
        <v>184.02</v>
      </c>
      <c r="P76" s="427">
        <f t="shared" si="25"/>
        <v>491.3</v>
      </c>
      <c r="Q76" s="427">
        <f>SUM(E76:P76)</f>
        <v>3750.6100000000006</v>
      </c>
    </row>
    <row r="77" spans="1:17" x14ac:dyDescent="0.2">
      <c r="A77" s="446">
        <f>A76+1</f>
        <v>13</v>
      </c>
      <c r="B77" s="447"/>
      <c r="C77" s="448" t="s">
        <v>568</v>
      </c>
      <c r="D77" s="449"/>
      <c r="E77" s="450">
        <f t="shared" ref="E77:P77" si="26">E436</f>
        <v>1511.6599999999999</v>
      </c>
      <c r="F77" s="450">
        <f t="shared" si="26"/>
        <v>1806.72</v>
      </c>
      <c r="G77" s="450">
        <f t="shared" si="26"/>
        <v>1856.23</v>
      </c>
      <c r="H77" s="450">
        <f t="shared" si="26"/>
        <v>984.11999999999989</v>
      </c>
      <c r="I77" s="450">
        <f t="shared" si="26"/>
        <v>528.42000000000007</v>
      </c>
      <c r="J77" s="450">
        <f t="shared" si="26"/>
        <v>306.24</v>
      </c>
      <c r="K77" s="450">
        <f t="shared" si="26"/>
        <v>354.69000000000005</v>
      </c>
      <c r="L77" s="450">
        <f t="shared" si="26"/>
        <v>243.64999999999998</v>
      </c>
      <c r="M77" s="450">
        <f t="shared" si="26"/>
        <v>209.17</v>
      </c>
      <c r="N77" s="450">
        <f t="shared" si="26"/>
        <v>267.66000000000003</v>
      </c>
      <c r="O77" s="450">
        <f t="shared" si="26"/>
        <v>534.36</v>
      </c>
      <c r="P77" s="450">
        <f t="shared" si="26"/>
        <v>1141.51</v>
      </c>
      <c r="Q77" s="450">
        <f>SUM(E77:P77)</f>
        <v>9744.43</v>
      </c>
    </row>
    <row r="78" spans="1:17" x14ac:dyDescent="0.2">
      <c r="G78" s="290"/>
      <c r="Q78" s="290"/>
    </row>
    <row r="79" spans="1:17" x14ac:dyDescent="0.2">
      <c r="A79" s="222">
        <f>A77+1</f>
        <v>14</v>
      </c>
      <c r="B79" s="219" t="str">
        <f>Input!A21</f>
        <v>G1R</v>
      </c>
      <c r="C79" s="219" t="str">
        <f>'Sch M 2.1'!B21</f>
        <v>LG&amp;E Residential</v>
      </c>
      <c r="G79" s="290"/>
      <c r="Q79" s="290"/>
    </row>
    <row r="80" spans="1:17" x14ac:dyDescent="0.2">
      <c r="A80" s="222">
        <f>A79+1</f>
        <v>15</v>
      </c>
      <c r="C80" s="444" t="s">
        <v>219</v>
      </c>
      <c r="E80" s="240">
        <f t="shared" ref="E80:P80" si="27">E460</f>
        <v>16</v>
      </c>
      <c r="F80" s="240">
        <f t="shared" si="27"/>
        <v>16</v>
      </c>
      <c r="G80" s="240">
        <f t="shared" si="27"/>
        <v>16</v>
      </c>
      <c r="H80" s="240">
        <f t="shared" si="27"/>
        <v>16</v>
      </c>
      <c r="I80" s="240">
        <f t="shared" si="27"/>
        <v>16</v>
      </c>
      <c r="J80" s="240">
        <f t="shared" si="27"/>
        <v>16</v>
      </c>
      <c r="K80" s="240">
        <f t="shared" si="27"/>
        <v>16</v>
      </c>
      <c r="L80" s="240">
        <f t="shared" si="27"/>
        <v>16</v>
      </c>
      <c r="M80" s="240">
        <f t="shared" si="27"/>
        <v>16</v>
      </c>
      <c r="N80" s="240">
        <f t="shared" si="27"/>
        <v>16</v>
      </c>
      <c r="O80" s="240">
        <f t="shared" si="27"/>
        <v>16</v>
      </c>
      <c r="P80" s="240">
        <f t="shared" si="27"/>
        <v>16</v>
      </c>
      <c r="Q80" s="240">
        <f>SUM(E80:P80)</f>
        <v>192</v>
      </c>
    </row>
    <row r="81" spans="1:17" x14ac:dyDescent="0.2">
      <c r="A81" s="222">
        <f>A80+1</f>
        <v>16</v>
      </c>
      <c r="C81" s="444" t="s">
        <v>567</v>
      </c>
      <c r="E81" s="245">
        <f t="shared" ref="E81:P81" si="28">E463</f>
        <v>458.3</v>
      </c>
      <c r="F81" s="245">
        <f t="shared" si="28"/>
        <v>345.9</v>
      </c>
      <c r="G81" s="245">
        <f t="shared" si="28"/>
        <v>279.39999999999998</v>
      </c>
      <c r="H81" s="245">
        <f t="shared" si="28"/>
        <v>174.8</v>
      </c>
      <c r="I81" s="245">
        <f t="shared" si="28"/>
        <v>81.099999999999994</v>
      </c>
      <c r="J81" s="245">
        <f t="shared" si="28"/>
        <v>33.4</v>
      </c>
      <c r="K81" s="245">
        <f t="shared" si="28"/>
        <v>24.1</v>
      </c>
      <c r="L81" s="245">
        <f t="shared" si="28"/>
        <v>27.6</v>
      </c>
      <c r="M81" s="245">
        <f t="shared" si="28"/>
        <v>28.4</v>
      </c>
      <c r="N81" s="245">
        <f t="shared" si="28"/>
        <v>68</v>
      </c>
      <c r="O81" s="245">
        <f t="shared" si="28"/>
        <v>159.19999999999999</v>
      </c>
      <c r="P81" s="245">
        <f t="shared" si="28"/>
        <v>338.7</v>
      </c>
      <c r="Q81" s="245">
        <f>SUM(E81:P81)</f>
        <v>2018.8999999999999</v>
      </c>
    </row>
    <row r="82" spans="1:17" x14ac:dyDescent="0.2">
      <c r="A82" s="222">
        <f>A81+1</f>
        <v>17</v>
      </c>
      <c r="C82" s="444" t="s">
        <v>221</v>
      </c>
      <c r="E82" s="427">
        <f t="shared" ref="E82:P82" si="29">E466</f>
        <v>1632.8899999999999</v>
      </c>
      <c r="F82" s="427">
        <f t="shared" si="29"/>
        <v>1300.18</v>
      </c>
      <c r="G82" s="427">
        <f t="shared" si="29"/>
        <v>1103.3399999999999</v>
      </c>
      <c r="H82" s="427">
        <f t="shared" si="29"/>
        <v>793.73</v>
      </c>
      <c r="I82" s="427">
        <f t="shared" si="29"/>
        <v>516.38</v>
      </c>
      <c r="J82" s="427">
        <f t="shared" si="29"/>
        <v>375.18</v>
      </c>
      <c r="K82" s="427">
        <f t="shared" si="29"/>
        <v>347.65999999999997</v>
      </c>
      <c r="L82" s="427">
        <f t="shared" si="29"/>
        <v>358.02</v>
      </c>
      <c r="M82" s="427">
        <f t="shared" si="29"/>
        <v>360.38</v>
      </c>
      <c r="N82" s="427">
        <f t="shared" si="29"/>
        <v>477.6</v>
      </c>
      <c r="O82" s="427">
        <f t="shared" si="29"/>
        <v>747.55</v>
      </c>
      <c r="P82" s="427">
        <f t="shared" si="29"/>
        <v>1278.8699999999999</v>
      </c>
      <c r="Q82" s="427">
        <f>SUM(E82:P82)</f>
        <v>9291.7799999999988</v>
      </c>
    </row>
    <row r="83" spans="1:17" x14ac:dyDescent="0.2">
      <c r="A83" s="222">
        <f>A82+1</f>
        <v>18</v>
      </c>
      <c r="C83" s="444" t="s">
        <v>222</v>
      </c>
      <c r="E83" s="427">
        <f t="shared" ref="E83:P83" si="30">E468</f>
        <v>1012.43</v>
      </c>
      <c r="F83" s="427">
        <f t="shared" si="30"/>
        <v>764.13</v>
      </c>
      <c r="G83" s="427">
        <f t="shared" si="30"/>
        <v>617.22</v>
      </c>
      <c r="H83" s="427">
        <f t="shared" si="30"/>
        <v>386.15</v>
      </c>
      <c r="I83" s="427">
        <f t="shared" si="30"/>
        <v>179.16</v>
      </c>
      <c r="J83" s="427">
        <f t="shared" si="30"/>
        <v>73.78</v>
      </c>
      <c r="K83" s="427">
        <f t="shared" si="30"/>
        <v>53.24</v>
      </c>
      <c r="L83" s="427">
        <f t="shared" si="30"/>
        <v>60.97</v>
      </c>
      <c r="M83" s="427">
        <f t="shared" si="30"/>
        <v>62.74</v>
      </c>
      <c r="N83" s="427">
        <f t="shared" si="30"/>
        <v>150.22</v>
      </c>
      <c r="O83" s="427">
        <f t="shared" si="30"/>
        <v>351.69</v>
      </c>
      <c r="P83" s="427">
        <f t="shared" si="30"/>
        <v>748.22</v>
      </c>
      <c r="Q83" s="427">
        <f>SUM(E83:P83)</f>
        <v>4459.9499999999989</v>
      </c>
    </row>
    <row r="84" spans="1:17" x14ac:dyDescent="0.2">
      <c r="A84" s="446">
        <f>A83+1</f>
        <v>19</v>
      </c>
      <c r="B84" s="447"/>
      <c r="C84" s="448" t="s">
        <v>568</v>
      </c>
      <c r="D84" s="449"/>
      <c r="E84" s="450">
        <f t="shared" ref="E84:P84" si="31">E470</f>
        <v>2645.3199999999997</v>
      </c>
      <c r="F84" s="450">
        <f t="shared" si="31"/>
        <v>2064.31</v>
      </c>
      <c r="G84" s="450">
        <f t="shared" si="31"/>
        <v>1720.56</v>
      </c>
      <c r="H84" s="450">
        <f t="shared" si="31"/>
        <v>1179.8800000000001</v>
      </c>
      <c r="I84" s="450">
        <f t="shared" si="31"/>
        <v>695.54</v>
      </c>
      <c r="J84" s="450">
        <f t="shared" si="31"/>
        <v>448.96000000000004</v>
      </c>
      <c r="K84" s="450">
        <f t="shared" si="31"/>
        <v>400.9</v>
      </c>
      <c r="L84" s="450">
        <f t="shared" si="31"/>
        <v>418.99</v>
      </c>
      <c r="M84" s="450">
        <f t="shared" si="31"/>
        <v>423.12</v>
      </c>
      <c r="N84" s="450">
        <f t="shared" si="31"/>
        <v>627.82000000000005</v>
      </c>
      <c r="O84" s="450">
        <f t="shared" si="31"/>
        <v>1099.24</v>
      </c>
      <c r="P84" s="450">
        <f t="shared" si="31"/>
        <v>2027.09</v>
      </c>
      <c r="Q84" s="450">
        <f>SUM(E84:P84)</f>
        <v>13751.73</v>
      </c>
    </row>
    <row r="85" spans="1:17" x14ac:dyDescent="0.2">
      <c r="G85" s="290"/>
      <c r="Q85" s="290"/>
    </row>
    <row r="86" spans="1:17" x14ac:dyDescent="0.2">
      <c r="A86" s="222">
        <f>A84+1</f>
        <v>20</v>
      </c>
      <c r="B86" s="219" t="str">
        <f>Input!A22</f>
        <v>IN3</v>
      </c>
      <c r="C86" s="219" t="str">
        <f>'Sch M 2.1'!B22</f>
        <v>Inland Gas General Service - Residential</v>
      </c>
      <c r="G86" s="290"/>
      <c r="Q86" s="290"/>
    </row>
    <row r="87" spans="1:17" x14ac:dyDescent="0.2">
      <c r="A87" s="222">
        <f>A86+1</f>
        <v>21</v>
      </c>
      <c r="C87" s="444" t="s">
        <v>219</v>
      </c>
      <c r="E87" s="240">
        <f t="shared" ref="E87:P87" si="32">E477</f>
        <v>9</v>
      </c>
      <c r="F87" s="240">
        <f t="shared" si="32"/>
        <v>9</v>
      </c>
      <c r="G87" s="240">
        <f t="shared" si="32"/>
        <v>9</v>
      </c>
      <c r="H87" s="240">
        <f t="shared" si="32"/>
        <v>10</v>
      </c>
      <c r="I87" s="240">
        <f t="shared" si="32"/>
        <v>8</v>
      </c>
      <c r="J87" s="240">
        <f t="shared" si="32"/>
        <v>9</v>
      </c>
      <c r="K87" s="240">
        <f t="shared" si="32"/>
        <v>9</v>
      </c>
      <c r="L87" s="240">
        <f t="shared" si="32"/>
        <v>9</v>
      </c>
      <c r="M87" s="240">
        <f t="shared" si="32"/>
        <v>9</v>
      </c>
      <c r="N87" s="240">
        <f t="shared" si="32"/>
        <v>9</v>
      </c>
      <c r="O87" s="240">
        <f t="shared" si="32"/>
        <v>9</v>
      </c>
      <c r="P87" s="240">
        <f t="shared" si="32"/>
        <v>9</v>
      </c>
      <c r="Q87" s="240">
        <f>SUM(E87:P87)</f>
        <v>108</v>
      </c>
    </row>
    <row r="88" spans="1:17" x14ac:dyDescent="0.2">
      <c r="A88" s="222">
        <f>A87+1</f>
        <v>22</v>
      </c>
      <c r="C88" s="444" t="s">
        <v>567</v>
      </c>
      <c r="E88" s="245">
        <f t="shared" ref="E88:P88" si="33">E480</f>
        <v>247.9</v>
      </c>
      <c r="F88" s="245">
        <f t="shared" si="33"/>
        <v>172.9</v>
      </c>
      <c r="G88" s="245">
        <f t="shared" si="33"/>
        <v>116.2</v>
      </c>
      <c r="H88" s="245">
        <f t="shared" si="33"/>
        <v>84.5</v>
      </c>
      <c r="I88" s="245">
        <f t="shared" si="33"/>
        <v>36.299999999999997</v>
      </c>
      <c r="J88" s="245">
        <f t="shared" si="33"/>
        <v>17</v>
      </c>
      <c r="K88" s="245">
        <f t="shared" si="33"/>
        <v>11.6</v>
      </c>
      <c r="L88" s="245">
        <f t="shared" si="33"/>
        <v>10.8</v>
      </c>
      <c r="M88" s="245">
        <f t="shared" si="33"/>
        <v>11.5</v>
      </c>
      <c r="N88" s="245">
        <f t="shared" si="33"/>
        <v>34</v>
      </c>
      <c r="O88" s="245">
        <f t="shared" si="33"/>
        <v>90.2</v>
      </c>
      <c r="P88" s="245">
        <f t="shared" si="33"/>
        <v>157.30000000000001</v>
      </c>
      <c r="Q88" s="245">
        <f>SUM(E88:P88)</f>
        <v>990.2</v>
      </c>
    </row>
    <row r="89" spans="1:17" x14ac:dyDescent="0.2">
      <c r="A89" s="222">
        <f>A88+1</f>
        <v>23</v>
      </c>
      <c r="C89" s="444" t="s">
        <v>221</v>
      </c>
      <c r="E89" s="427">
        <f t="shared" ref="E89:P89" si="34">E483</f>
        <v>99.16</v>
      </c>
      <c r="F89" s="427">
        <f t="shared" si="34"/>
        <v>69.16</v>
      </c>
      <c r="G89" s="427">
        <f t="shared" si="34"/>
        <v>46.48</v>
      </c>
      <c r="H89" s="427">
        <f t="shared" si="34"/>
        <v>33.799999999999997</v>
      </c>
      <c r="I89" s="427">
        <f t="shared" si="34"/>
        <v>14.52</v>
      </c>
      <c r="J89" s="427">
        <f t="shared" si="34"/>
        <v>6.8</v>
      </c>
      <c r="K89" s="427">
        <f t="shared" si="34"/>
        <v>4.6399999999999997</v>
      </c>
      <c r="L89" s="427">
        <f t="shared" si="34"/>
        <v>4.32</v>
      </c>
      <c r="M89" s="427">
        <f t="shared" si="34"/>
        <v>4.5999999999999996</v>
      </c>
      <c r="N89" s="427">
        <f t="shared" si="34"/>
        <v>13.6</v>
      </c>
      <c r="O89" s="427">
        <f t="shared" si="34"/>
        <v>36.08</v>
      </c>
      <c r="P89" s="427">
        <f t="shared" si="34"/>
        <v>62.92</v>
      </c>
      <c r="Q89" s="427">
        <f>SUM(E89:P89)</f>
        <v>396.08</v>
      </c>
    </row>
    <row r="90" spans="1:17" x14ac:dyDescent="0.2">
      <c r="A90" s="222">
        <f>A89+1</f>
        <v>24</v>
      </c>
      <c r="C90" s="444" t="s">
        <v>222</v>
      </c>
      <c r="E90" s="427">
        <f t="shared" ref="E90:P90" si="35">E485</f>
        <v>0</v>
      </c>
      <c r="F90" s="427">
        <f t="shared" si="35"/>
        <v>0</v>
      </c>
      <c r="G90" s="427">
        <f t="shared" si="35"/>
        <v>0</v>
      </c>
      <c r="H90" s="427">
        <f t="shared" si="35"/>
        <v>0</v>
      </c>
      <c r="I90" s="427">
        <f t="shared" si="35"/>
        <v>0</v>
      </c>
      <c r="J90" s="427">
        <f t="shared" si="35"/>
        <v>0</v>
      </c>
      <c r="K90" s="427">
        <f t="shared" si="35"/>
        <v>0</v>
      </c>
      <c r="L90" s="427">
        <f t="shared" si="35"/>
        <v>0</v>
      </c>
      <c r="M90" s="427">
        <f t="shared" si="35"/>
        <v>0</v>
      </c>
      <c r="N90" s="427">
        <f t="shared" si="35"/>
        <v>0</v>
      </c>
      <c r="O90" s="427">
        <f t="shared" si="35"/>
        <v>0</v>
      </c>
      <c r="P90" s="427">
        <f t="shared" si="35"/>
        <v>0</v>
      </c>
      <c r="Q90" s="427">
        <f>SUM(E90:P90)</f>
        <v>0</v>
      </c>
    </row>
    <row r="91" spans="1:17" x14ac:dyDescent="0.2">
      <c r="A91" s="446">
        <f>A90+1</f>
        <v>25</v>
      </c>
      <c r="B91" s="447"/>
      <c r="C91" s="448" t="s">
        <v>568</v>
      </c>
      <c r="D91" s="449"/>
      <c r="E91" s="450">
        <f t="shared" ref="E91:P91" si="36">E487</f>
        <v>99.16</v>
      </c>
      <c r="F91" s="450">
        <f t="shared" si="36"/>
        <v>69.16</v>
      </c>
      <c r="G91" s="450">
        <f t="shared" si="36"/>
        <v>46.48</v>
      </c>
      <c r="H91" s="450">
        <f t="shared" si="36"/>
        <v>33.799999999999997</v>
      </c>
      <c r="I91" s="450">
        <f t="shared" si="36"/>
        <v>14.52</v>
      </c>
      <c r="J91" s="450">
        <f t="shared" si="36"/>
        <v>6.8</v>
      </c>
      <c r="K91" s="450">
        <f t="shared" si="36"/>
        <v>4.6399999999999997</v>
      </c>
      <c r="L91" s="450">
        <f t="shared" si="36"/>
        <v>4.32</v>
      </c>
      <c r="M91" s="450">
        <f t="shared" si="36"/>
        <v>4.5999999999999996</v>
      </c>
      <c r="N91" s="450">
        <f t="shared" si="36"/>
        <v>13.6</v>
      </c>
      <c r="O91" s="450">
        <f t="shared" si="36"/>
        <v>36.08</v>
      </c>
      <c r="P91" s="450">
        <f t="shared" si="36"/>
        <v>62.92</v>
      </c>
      <c r="Q91" s="450">
        <f>SUM(E91:P91)</f>
        <v>396.08</v>
      </c>
    </row>
    <row r="92" spans="1:17" x14ac:dyDescent="0.2">
      <c r="G92" s="290"/>
      <c r="Q92" s="290"/>
    </row>
    <row r="93" spans="1:17" x14ac:dyDescent="0.2">
      <c r="A93" s="222">
        <f>A91+1</f>
        <v>26</v>
      </c>
      <c r="B93" s="219" t="str">
        <f>Input!A24</f>
        <v>IN4</v>
      </c>
      <c r="C93" s="219" t="str">
        <f>'Sch M 2.1'!B23</f>
        <v>Inland Gas General Service - Residential</v>
      </c>
      <c r="G93" s="290"/>
      <c r="Q93" s="290"/>
    </row>
    <row r="94" spans="1:17" x14ac:dyDescent="0.2">
      <c r="A94" s="222">
        <f>A93+1</f>
        <v>27</v>
      </c>
      <c r="C94" s="444" t="s">
        <v>219</v>
      </c>
      <c r="E94" s="240">
        <f t="shared" ref="E94:P94" si="37">E494</f>
        <v>0</v>
      </c>
      <c r="F94" s="240">
        <f t="shared" si="37"/>
        <v>0</v>
      </c>
      <c r="G94" s="240">
        <f t="shared" si="37"/>
        <v>0</v>
      </c>
      <c r="H94" s="240">
        <f t="shared" si="37"/>
        <v>0</v>
      </c>
      <c r="I94" s="240">
        <f t="shared" si="37"/>
        <v>0</v>
      </c>
      <c r="J94" s="240">
        <f t="shared" si="37"/>
        <v>0</v>
      </c>
      <c r="K94" s="240">
        <f t="shared" si="37"/>
        <v>0</v>
      </c>
      <c r="L94" s="240">
        <f t="shared" si="37"/>
        <v>0</v>
      </c>
      <c r="M94" s="240">
        <f t="shared" si="37"/>
        <v>0</v>
      </c>
      <c r="N94" s="240">
        <f t="shared" si="37"/>
        <v>0</v>
      </c>
      <c r="O94" s="240">
        <f t="shared" si="37"/>
        <v>0</v>
      </c>
      <c r="P94" s="240">
        <f t="shared" si="37"/>
        <v>0</v>
      </c>
      <c r="Q94" s="240">
        <f>SUM(E94:P94)</f>
        <v>0</v>
      </c>
    </row>
    <row r="95" spans="1:17" x14ac:dyDescent="0.2">
      <c r="A95" s="222">
        <f>A94+1</f>
        <v>28</v>
      </c>
      <c r="C95" s="444" t="s">
        <v>567</v>
      </c>
      <c r="E95" s="245">
        <f t="shared" ref="E95:P95" si="38">E497</f>
        <v>0</v>
      </c>
      <c r="F95" s="245">
        <f t="shared" si="38"/>
        <v>0</v>
      </c>
      <c r="G95" s="245">
        <f t="shared" si="38"/>
        <v>0</v>
      </c>
      <c r="H95" s="245">
        <f t="shared" si="38"/>
        <v>0</v>
      </c>
      <c r="I95" s="245">
        <f t="shared" si="38"/>
        <v>0</v>
      </c>
      <c r="J95" s="245">
        <f t="shared" si="38"/>
        <v>0</v>
      </c>
      <c r="K95" s="245">
        <f t="shared" si="38"/>
        <v>0</v>
      </c>
      <c r="L95" s="245">
        <f t="shared" si="38"/>
        <v>0</v>
      </c>
      <c r="M95" s="245">
        <f t="shared" si="38"/>
        <v>0</v>
      </c>
      <c r="N95" s="245">
        <f t="shared" si="38"/>
        <v>0</v>
      </c>
      <c r="O95" s="245">
        <f t="shared" si="38"/>
        <v>0</v>
      </c>
      <c r="P95" s="245">
        <f t="shared" si="38"/>
        <v>0</v>
      </c>
      <c r="Q95" s="245">
        <f>SUM(E95:P95)</f>
        <v>0</v>
      </c>
    </row>
    <row r="96" spans="1:17" x14ac:dyDescent="0.2">
      <c r="A96" s="222">
        <f>A95+1</f>
        <v>29</v>
      </c>
      <c r="C96" s="444" t="s">
        <v>221</v>
      </c>
      <c r="E96" s="427">
        <f t="shared" ref="E96:P96" si="39">E500</f>
        <v>0</v>
      </c>
      <c r="F96" s="427">
        <f t="shared" si="39"/>
        <v>0</v>
      </c>
      <c r="G96" s="427">
        <f t="shared" si="39"/>
        <v>0</v>
      </c>
      <c r="H96" s="427">
        <f t="shared" si="39"/>
        <v>0</v>
      </c>
      <c r="I96" s="427">
        <f t="shared" si="39"/>
        <v>0</v>
      </c>
      <c r="J96" s="427">
        <f t="shared" si="39"/>
        <v>0</v>
      </c>
      <c r="K96" s="427">
        <f t="shared" si="39"/>
        <v>0</v>
      </c>
      <c r="L96" s="427">
        <f t="shared" si="39"/>
        <v>0</v>
      </c>
      <c r="M96" s="427">
        <f t="shared" si="39"/>
        <v>0</v>
      </c>
      <c r="N96" s="427">
        <f t="shared" si="39"/>
        <v>0</v>
      </c>
      <c r="O96" s="427">
        <f t="shared" si="39"/>
        <v>0</v>
      </c>
      <c r="P96" s="427">
        <f t="shared" si="39"/>
        <v>0</v>
      </c>
      <c r="Q96" s="427">
        <f>SUM(E96:P96)</f>
        <v>0</v>
      </c>
    </row>
    <row r="97" spans="1:18" x14ac:dyDescent="0.2">
      <c r="A97" s="222">
        <f>A96+1</f>
        <v>30</v>
      </c>
      <c r="C97" s="444" t="s">
        <v>222</v>
      </c>
      <c r="E97" s="427">
        <f t="shared" ref="E97:P97" si="40">E502</f>
        <v>0</v>
      </c>
      <c r="F97" s="427">
        <f t="shared" si="40"/>
        <v>0</v>
      </c>
      <c r="G97" s="427">
        <f t="shared" si="40"/>
        <v>0</v>
      </c>
      <c r="H97" s="427">
        <f t="shared" si="40"/>
        <v>0</v>
      </c>
      <c r="I97" s="427">
        <f t="shared" si="40"/>
        <v>0</v>
      </c>
      <c r="J97" s="427">
        <f t="shared" si="40"/>
        <v>0</v>
      </c>
      <c r="K97" s="427">
        <f t="shared" si="40"/>
        <v>0</v>
      </c>
      <c r="L97" s="427">
        <f t="shared" si="40"/>
        <v>0</v>
      </c>
      <c r="M97" s="427">
        <f t="shared" si="40"/>
        <v>0</v>
      </c>
      <c r="N97" s="427">
        <f t="shared" si="40"/>
        <v>0</v>
      </c>
      <c r="O97" s="427">
        <f t="shared" si="40"/>
        <v>0</v>
      </c>
      <c r="P97" s="427">
        <f t="shared" si="40"/>
        <v>0</v>
      </c>
      <c r="Q97" s="427">
        <f>SUM(E97:P97)</f>
        <v>0</v>
      </c>
    </row>
    <row r="98" spans="1:18" x14ac:dyDescent="0.2">
      <c r="A98" s="446">
        <f>A97+1</f>
        <v>31</v>
      </c>
      <c r="B98" s="447"/>
      <c r="C98" s="448" t="s">
        <v>568</v>
      </c>
      <c r="D98" s="449"/>
      <c r="E98" s="450">
        <f t="shared" ref="E98:P98" si="41">E504</f>
        <v>0</v>
      </c>
      <c r="F98" s="450">
        <f t="shared" si="41"/>
        <v>0</v>
      </c>
      <c r="G98" s="450">
        <f t="shared" si="41"/>
        <v>0</v>
      </c>
      <c r="H98" s="450">
        <f t="shared" si="41"/>
        <v>0</v>
      </c>
      <c r="I98" s="450">
        <f t="shared" si="41"/>
        <v>0</v>
      </c>
      <c r="J98" s="450">
        <f t="shared" si="41"/>
        <v>0</v>
      </c>
      <c r="K98" s="450">
        <f t="shared" si="41"/>
        <v>0</v>
      </c>
      <c r="L98" s="450">
        <f t="shared" si="41"/>
        <v>0</v>
      </c>
      <c r="M98" s="450">
        <f t="shared" si="41"/>
        <v>0</v>
      </c>
      <c r="N98" s="450">
        <f t="shared" si="41"/>
        <v>0</v>
      </c>
      <c r="O98" s="450">
        <f t="shared" si="41"/>
        <v>0</v>
      </c>
      <c r="P98" s="450">
        <f t="shared" si="41"/>
        <v>0</v>
      </c>
      <c r="Q98" s="450">
        <f>SUM(E98:P98)</f>
        <v>0</v>
      </c>
    </row>
    <row r="99" spans="1:18" x14ac:dyDescent="0.2">
      <c r="G99" s="290"/>
      <c r="Q99" s="290"/>
    </row>
    <row r="100" spans="1:18" x14ac:dyDescent="0.2">
      <c r="A100" s="222">
        <f>A98+1</f>
        <v>32</v>
      </c>
      <c r="B100" s="219" t="str">
        <f>Input!A25</f>
        <v>IN5</v>
      </c>
      <c r="C100" s="219" t="str">
        <f>'Sch M 2.1'!B24</f>
        <v>Inland Gas General Service - Residential</v>
      </c>
      <c r="G100" s="290"/>
      <c r="Q100" s="290"/>
    </row>
    <row r="101" spans="1:18" x14ac:dyDescent="0.2">
      <c r="A101" s="222">
        <f>A100+1</f>
        <v>33</v>
      </c>
      <c r="C101" s="444" t="s">
        <v>219</v>
      </c>
      <c r="E101" s="240">
        <f t="shared" ref="E101:P101" si="42">E528</f>
        <v>3</v>
      </c>
      <c r="F101" s="240">
        <f t="shared" si="42"/>
        <v>3</v>
      </c>
      <c r="G101" s="240">
        <f t="shared" si="42"/>
        <v>3</v>
      </c>
      <c r="H101" s="240">
        <f t="shared" si="42"/>
        <v>3</v>
      </c>
      <c r="I101" s="240">
        <f t="shared" si="42"/>
        <v>3</v>
      </c>
      <c r="J101" s="240">
        <f t="shared" si="42"/>
        <v>3</v>
      </c>
      <c r="K101" s="240">
        <f t="shared" si="42"/>
        <v>3</v>
      </c>
      <c r="L101" s="240">
        <f t="shared" si="42"/>
        <v>3</v>
      </c>
      <c r="M101" s="240">
        <f t="shared" si="42"/>
        <v>3</v>
      </c>
      <c r="N101" s="240">
        <f t="shared" si="42"/>
        <v>3</v>
      </c>
      <c r="O101" s="240">
        <f t="shared" si="42"/>
        <v>3</v>
      </c>
      <c r="P101" s="240">
        <f t="shared" si="42"/>
        <v>3</v>
      </c>
      <c r="Q101" s="240">
        <f>SUM(E101:P101)</f>
        <v>36</v>
      </c>
    </row>
    <row r="102" spans="1:18" x14ac:dyDescent="0.2">
      <c r="A102" s="222">
        <f>A101+1</f>
        <v>34</v>
      </c>
      <c r="C102" s="444" t="s">
        <v>567</v>
      </c>
      <c r="E102" s="245">
        <f t="shared" ref="E102:P102" si="43">E531</f>
        <v>84.3</v>
      </c>
      <c r="F102" s="245">
        <f t="shared" si="43"/>
        <v>54.6</v>
      </c>
      <c r="G102" s="245">
        <f t="shared" si="43"/>
        <v>43.5</v>
      </c>
      <c r="H102" s="245">
        <f t="shared" si="43"/>
        <v>25.4</v>
      </c>
      <c r="I102" s="245">
        <f t="shared" si="43"/>
        <v>12.3</v>
      </c>
      <c r="J102" s="245">
        <f t="shared" si="43"/>
        <v>4.9000000000000004</v>
      </c>
      <c r="K102" s="245">
        <f t="shared" si="43"/>
        <v>2.4</v>
      </c>
      <c r="L102" s="245">
        <f t="shared" si="43"/>
        <v>2.9</v>
      </c>
      <c r="M102" s="245">
        <f t="shared" si="43"/>
        <v>4.3</v>
      </c>
      <c r="N102" s="245">
        <f t="shared" si="43"/>
        <v>14.9</v>
      </c>
      <c r="O102" s="245">
        <f t="shared" si="43"/>
        <v>32.1</v>
      </c>
      <c r="P102" s="245">
        <f t="shared" si="43"/>
        <v>52</v>
      </c>
      <c r="Q102" s="245">
        <f>SUM(E102:P102)</f>
        <v>333.60000000000008</v>
      </c>
    </row>
    <row r="103" spans="1:18" x14ac:dyDescent="0.2">
      <c r="A103" s="222">
        <f>A102+1</f>
        <v>35</v>
      </c>
      <c r="C103" s="444" t="s">
        <v>221</v>
      </c>
      <c r="E103" s="427">
        <f t="shared" ref="E103:P103" si="44">E534</f>
        <v>50.58</v>
      </c>
      <c r="F103" s="427">
        <f t="shared" si="44"/>
        <v>32.76</v>
      </c>
      <c r="G103" s="427">
        <f t="shared" si="44"/>
        <v>26.1</v>
      </c>
      <c r="H103" s="427">
        <f t="shared" si="44"/>
        <v>15.24</v>
      </c>
      <c r="I103" s="427">
        <f t="shared" si="44"/>
        <v>7.38</v>
      </c>
      <c r="J103" s="427">
        <f t="shared" si="44"/>
        <v>2.94</v>
      </c>
      <c r="K103" s="427">
        <f t="shared" si="44"/>
        <v>1.44</v>
      </c>
      <c r="L103" s="427">
        <f t="shared" si="44"/>
        <v>1.74</v>
      </c>
      <c r="M103" s="427">
        <f t="shared" si="44"/>
        <v>2.58</v>
      </c>
      <c r="N103" s="427">
        <f t="shared" si="44"/>
        <v>8.94</v>
      </c>
      <c r="O103" s="427">
        <f t="shared" si="44"/>
        <v>19.260000000000002</v>
      </c>
      <c r="P103" s="427">
        <f t="shared" si="44"/>
        <v>31.2</v>
      </c>
      <c r="Q103" s="427">
        <f>SUM(E103:P103)</f>
        <v>200.16</v>
      </c>
    </row>
    <row r="104" spans="1:18" x14ac:dyDescent="0.2">
      <c r="A104" s="222">
        <f>A103+1</f>
        <v>36</v>
      </c>
      <c r="C104" s="444" t="s">
        <v>222</v>
      </c>
      <c r="E104" s="427">
        <f t="shared" ref="E104:P104" si="45">E536</f>
        <v>0</v>
      </c>
      <c r="F104" s="427">
        <f t="shared" si="45"/>
        <v>0</v>
      </c>
      <c r="G104" s="427">
        <f t="shared" si="45"/>
        <v>0</v>
      </c>
      <c r="H104" s="427">
        <f t="shared" si="45"/>
        <v>0</v>
      </c>
      <c r="I104" s="427">
        <f t="shared" si="45"/>
        <v>0</v>
      </c>
      <c r="J104" s="427">
        <f t="shared" si="45"/>
        <v>0</v>
      </c>
      <c r="K104" s="427">
        <f t="shared" si="45"/>
        <v>0</v>
      </c>
      <c r="L104" s="427">
        <f t="shared" si="45"/>
        <v>0</v>
      </c>
      <c r="M104" s="427">
        <f t="shared" si="45"/>
        <v>0</v>
      </c>
      <c r="N104" s="427">
        <f t="shared" si="45"/>
        <v>0</v>
      </c>
      <c r="O104" s="427">
        <f t="shared" si="45"/>
        <v>0</v>
      </c>
      <c r="P104" s="427">
        <f t="shared" si="45"/>
        <v>0</v>
      </c>
      <c r="Q104" s="427">
        <f>SUM(E104:P104)</f>
        <v>0</v>
      </c>
    </row>
    <row r="105" spans="1:18" x14ac:dyDescent="0.2">
      <c r="A105" s="446">
        <f>A104+1</f>
        <v>37</v>
      </c>
      <c r="B105" s="447"/>
      <c r="C105" s="448" t="s">
        <v>568</v>
      </c>
      <c r="D105" s="449"/>
      <c r="E105" s="450">
        <f t="shared" ref="E105:P105" si="46">E538</f>
        <v>50.58</v>
      </c>
      <c r="F105" s="450">
        <f t="shared" si="46"/>
        <v>32.76</v>
      </c>
      <c r="G105" s="450">
        <f t="shared" si="46"/>
        <v>26.1</v>
      </c>
      <c r="H105" s="450">
        <f t="shared" si="46"/>
        <v>15.24</v>
      </c>
      <c r="I105" s="450">
        <f t="shared" si="46"/>
        <v>7.38</v>
      </c>
      <c r="J105" s="450">
        <f t="shared" si="46"/>
        <v>2.94</v>
      </c>
      <c r="K105" s="450">
        <f t="shared" si="46"/>
        <v>1.44</v>
      </c>
      <c r="L105" s="450">
        <f t="shared" si="46"/>
        <v>1.74</v>
      </c>
      <c r="M105" s="450">
        <f t="shared" si="46"/>
        <v>2.58</v>
      </c>
      <c r="N105" s="450">
        <f t="shared" si="46"/>
        <v>8.94</v>
      </c>
      <c r="O105" s="450">
        <f t="shared" si="46"/>
        <v>19.260000000000002</v>
      </c>
      <c r="P105" s="450">
        <f t="shared" si="46"/>
        <v>31.2</v>
      </c>
      <c r="Q105" s="450">
        <f>SUM(E105:P105)</f>
        <v>200.16</v>
      </c>
    </row>
    <row r="106" spans="1:18" x14ac:dyDescent="0.2">
      <c r="G106" s="290"/>
      <c r="Q106" s="290"/>
    </row>
    <row r="107" spans="1:18" x14ac:dyDescent="0.2">
      <c r="A107" s="219"/>
      <c r="D107" s="219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</row>
    <row r="108" spans="1:18" x14ac:dyDescent="0.2">
      <c r="A108" s="456" t="s">
        <v>113</v>
      </c>
      <c r="D108" s="219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</row>
    <row r="109" spans="1:18" x14ac:dyDescent="0.2">
      <c r="A109" s="457" t="s">
        <v>573</v>
      </c>
      <c r="D109" s="219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</row>
    <row r="110" spans="1:18" x14ac:dyDescent="0.2">
      <c r="A110" s="457"/>
      <c r="D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</row>
    <row r="111" spans="1:18" x14ac:dyDescent="0.2">
      <c r="A111" s="993" t="str">
        <f>CONAME</f>
        <v>Columbia Gas of Kentucky, Inc.</v>
      </c>
      <c r="B111" s="993"/>
      <c r="C111" s="993"/>
      <c r="D111" s="993"/>
      <c r="E111" s="993"/>
      <c r="F111" s="993"/>
      <c r="G111" s="993"/>
      <c r="H111" s="993"/>
      <c r="I111" s="993"/>
      <c r="J111" s="993"/>
      <c r="K111" s="993"/>
      <c r="L111" s="993"/>
      <c r="M111" s="993"/>
      <c r="N111" s="993"/>
      <c r="O111" s="993"/>
      <c r="P111" s="993"/>
      <c r="Q111" s="993"/>
      <c r="R111" s="458"/>
    </row>
    <row r="112" spans="1:18" x14ac:dyDescent="0.2">
      <c r="A112" s="981" t="str">
        <f>case</f>
        <v>Case No. 2016-00162</v>
      </c>
      <c r="B112" s="981"/>
      <c r="C112" s="981"/>
      <c r="D112" s="981"/>
      <c r="E112" s="981"/>
      <c r="F112" s="981"/>
      <c r="G112" s="981"/>
      <c r="H112" s="981"/>
      <c r="I112" s="981"/>
      <c r="J112" s="981"/>
      <c r="K112" s="981"/>
      <c r="L112" s="981"/>
      <c r="M112" s="981"/>
      <c r="N112" s="981"/>
      <c r="O112" s="981"/>
      <c r="P112" s="981"/>
      <c r="Q112" s="981"/>
      <c r="R112" s="458"/>
    </row>
    <row r="113" spans="1:18" x14ac:dyDescent="0.2">
      <c r="A113" s="994" t="s">
        <v>494</v>
      </c>
      <c r="B113" s="994"/>
      <c r="C113" s="994"/>
      <c r="D113" s="994"/>
      <c r="E113" s="994"/>
      <c r="F113" s="994"/>
      <c r="G113" s="994"/>
      <c r="H113" s="994"/>
      <c r="I113" s="994"/>
      <c r="J113" s="994"/>
      <c r="K113" s="994"/>
      <c r="L113" s="994"/>
      <c r="M113" s="994"/>
      <c r="N113" s="994"/>
      <c r="O113" s="994"/>
      <c r="P113" s="994"/>
      <c r="Q113" s="994"/>
      <c r="R113" s="458"/>
    </row>
    <row r="114" spans="1:18" x14ac:dyDescent="0.2">
      <c r="A114" s="993" t="str">
        <f>TYDESC</f>
        <v>For the 12 Months Ended December 31, 2017</v>
      </c>
      <c r="B114" s="993"/>
      <c r="C114" s="993"/>
      <c r="D114" s="993"/>
      <c r="E114" s="993"/>
      <c r="F114" s="993"/>
      <c r="G114" s="993"/>
      <c r="H114" s="993"/>
      <c r="I114" s="993"/>
      <c r="J114" s="993"/>
      <c r="K114" s="993"/>
      <c r="L114" s="993"/>
      <c r="M114" s="993"/>
      <c r="N114" s="993"/>
      <c r="O114" s="993"/>
      <c r="P114" s="993"/>
      <c r="Q114" s="993"/>
      <c r="R114" s="458"/>
    </row>
    <row r="115" spans="1:18" x14ac:dyDescent="0.2">
      <c r="A115" s="991" t="s">
        <v>39</v>
      </c>
      <c r="B115" s="991"/>
      <c r="C115" s="991"/>
      <c r="D115" s="991"/>
      <c r="E115" s="991"/>
      <c r="F115" s="991"/>
      <c r="G115" s="991"/>
      <c r="H115" s="991"/>
      <c r="I115" s="991"/>
      <c r="J115" s="991"/>
      <c r="K115" s="991"/>
      <c r="L115" s="991"/>
      <c r="M115" s="991"/>
      <c r="N115" s="991"/>
      <c r="O115" s="991"/>
      <c r="P115" s="991"/>
      <c r="Q115" s="991"/>
      <c r="R115" s="458"/>
    </row>
    <row r="116" spans="1:18" x14ac:dyDescent="0.2">
      <c r="A116" s="262" t="str">
        <f>$A$52</f>
        <v>Data: __ Base Period _X_ Forecasted Period</v>
      </c>
    </row>
    <row r="117" spans="1:18" x14ac:dyDescent="0.2">
      <c r="A117" s="262" t="str">
        <f>$A$53</f>
        <v>Type of Filing: X Original _ Update _ Revised</v>
      </c>
      <c r="Q117" s="413" t="str">
        <f>$Q$53</f>
        <v>Schedule M-2.2</v>
      </c>
    </row>
    <row r="118" spans="1:18" x14ac:dyDescent="0.2">
      <c r="A118" s="262" t="str">
        <f>$A$54</f>
        <v>Work Paper Reference No(s):</v>
      </c>
      <c r="Q118" s="413" t="s">
        <v>498</v>
      </c>
    </row>
    <row r="119" spans="1:18" x14ac:dyDescent="0.2">
      <c r="A119" s="414" t="str">
        <f>$A$55</f>
        <v>12 Months Forecasted</v>
      </c>
      <c r="Q119" s="413" t="str">
        <f>Witness</f>
        <v>Witness:  M. J. Bell</v>
      </c>
    </row>
    <row r="120" spans="1:18" x14ac:dyDescent="0.2">
      <c r="A120" s="992" t="s">
        <v>194</v>
      </c>
      <c r="B120" s="992"/>
      <c r="C120" s="992"/>
      <c r="D120" s="992"/>
      <c r="E120" s="992"/>
      <c r="F120" s="992"/>
      <c r="G120" s="992"/>
      <c r="H120" s="992"/>
      <c r="I120" s="992"/>
      <c r="J120" s="992"/>
      <c r="K120" s="992"/>
      <c r="L120" s="992"/>
      <c r="M120" s="992"/>
      <c r="N120" s="992"/>
      <c r="O120" s="992"/>
      <c r="P120" s="992"/>
      <c r="Q120" s="992"/>
    </row>
    <row r="121" spans="1:18" x14ac:dyDescent="0.2">
      <c r="C121" s="455"/>
      <c r="G121" s="290"/>
      <c r="Q121" s="290"/>
    </row>
    <row r="122" spans="1:18" x14ac:dyDescent="0.2">
      <c r="A122" s="410"/>
      <c r="B122" s="224"/>
      <c r="C122" s="224"/>
      <c r="D122" s="416"/>
      <c r="E122" s="417"/>
      <c r="F122" s="418"/>
      <c r="G122" s="417"/>
      <c r="H122" s="419"/>
      <c r="I122" s="417"/>
      <c r="J122" s="417"/>
      <c r="K122" s="417"/>
      <c r="L122" s="417"/>
      <c r="M122" s="417"/>
      <c r="N122" s="417"/>
      <c r="O122" s="224"/>
      <c r="P122" s="224"/>
      <c r="Q122" s="224"/>
    </row>
    <row r="123" spans="1:18" x14ac:dyDescent="0.2">
      <c r="A123" s="410" t="s">
        <v>1</v>
      </c>
      <c r="B123" s="224" t="s">
        <v>0</v>
      </c>
      <c r="C123" s="224" t="s">
        <v>41</v>
      </c>
      <c r="D123" s="416" t="s">
        <v>47</v>
      </c>
      <c r="E123" s="417"/>
      <c r="F123" s="418"/>
      <c r="G123" s="417"/>
      <c r="H123" s="419"/>
      <c r="I123" s="417"/>
      <c r="J123" s="417"/>
      <c r="K123" s="417"/>
      <c r="L123" s="417"/>
      <c r="M123" s="417"/>
      <c r="N123" s="417"/>
      <c r="O123" s="229"/>
      <c r="P123" s="229"/>
      <c r="Q123" s="229"/>
    </row>
    <row r="124" spans="1:18" x14ac:dyDescent="0.2">
      <c r="A124" s="281" t="s">
        <v>3</v>
      </c>
      <c r="B124" s="226" t="s">
        <v>40</v>
      </c>
      <c r="C124" s="226" t="s">
        <v>4</v>
      </c>
      <c r="D124" s="420" t="s">
        <v>48</v>
      </c>
      <c r="E124" s="421" t="str">
        <f>B!$D$11</f>
        <v>Jan-17</v>
      </c>
      <c r="F124" s="421" t="str">
        <f>B!$E$11</f>
        <v>Feb-17</v>
      </c>
      <c r="G124" s="421" t="str">
        <f>B!$F$11</f>
        <v>Mar-17</v>
      </c>
      <c r="H124" s="421" t="str">
        <f>B!$G$11</f>
        <v>Apr-17</v>
      </c>
      <c r="I124" s="421" t="str">
        <f>B!$H$11</f>
        <v>May-17</v>
      </c>
      <c r="J124" s="421" t="str">
        <f>B!$I$11</f>
        <v>Jun-17</v>
      </c>
      <c r="K124" s="421" t="str">
        <f>B!$J$11</f>
        <v>Jul-17</v>
      </c>
      <c r="L124" s="421" t="str">
        <f>B!$K$11</f>
        <v>Aug-17</v>
      </c>
      <c r="M124" s="421" t="str">
        <f>B!$L$11</f>
        <v>Sep-17</v>
      </c>
      <c r="N124" s="421" t="str">
        <f>B!$M$11</f>
        <v>Oct-17</v>
      </c>
      <c r="O124" s="421" t="str">
        <f>B!$N$11</f>
        <v>Nov-17</v>
      </c>
      <c r="P124" s="421" t="str">
        <f>B!$O$11</f>
        <v>Dec-17</v>
      </c>
      <c r="Q124" s="422" t="s">
        <v>9</v>
      </c>
    </row>
    <row r="125" spans="1:18" x14ac:dyDescent="0.2">
      <c r="A125" s="410"/>
      <c r="B125" s="229" t="s">
        <v>42</v>
      </c>
      <c r="C125" s="229" t="s">
        <v>43</v>
      </c>
      <c r="D125" s="423" t="s">
        <v>45</v>
      </c>
      <c r="E125" s="424" t="s">
        <v>46</v>
      </c>
      <c r="F125" s="424" t="s">
        <v>49</v>
      </c>
      <c r="G125" s="424" t="s">
        <v>50</v>
      </c>
      <c r="H125" s="424" t="s">
        <v>51</v>
      </c>
      <c r="I125" s="424" t="s">
        <v>52</v>
      </c>
      <c r="J125" s="424" t="s">
        <v>53</v>
      </c>
      <c r="K125" s="425" t="s">
        <v>54</v>
      </c>
      <c r="L125" s="425" t="s">
        <v>55</v>
      </c>
      <c r="M125" s="425" t="s">
        <v>56</v>
      </c>
      <c r="N125" s="425" t="s">
        <v>57</v>
      </c>
      <c r="O125" s="425" t="s">
        <v>58</v>
      </c>
      <c r="P125" s="425" t="s">
        <v>59</v>
      </c>
      <c r="Q125" s="425" t="s">
        <v>203</v>
      </c>
    </row>
    <row r="126" spans="1:18" x14ac:dyDescent="0.2">
      <c r="C126" s="455"/>
      <c r="G126" s="290"/>
      <c r="Q126" s="290"/>
    </row>
    <row r="127" spans="1:18" x14ac:dyDescent="0.2">
      <c r="A127" s="222">
        <v>1</v>
      </c>
      <c r="C127" s="438" t="s">
        <v>94</v>
      </c>
      <c r="G127" s="290"/>
      <c r="Q127" s="290"/>
    </row>
    <row r="128" spans="1:18" x14ac:dyDescent="0.2">
      <c r="C128" s="455"/>
      <c r="G128" s="290"/>
      <c r="Q128" s="290"/>
    </row>
    <row r="129" spans="1:17" x14ac:dyDescent="0.2">
      <c r="A129" s="222">
        <f>A127+1</f>
        <v>2</v>
      </c>
      <c r="B129" s="219" t="str">
        <f>Input!A26</f>
        <v>LG2</v>
      </c>
      <c r="C129" s="219" t="str">
        <f>'Sch M 2.1'!B25</f>
        <v xml:space="preserve">LG&amp;E Residential </v>
      </c>
      <c r="G129" s="290"/>
      <c r="Q129" s="290"/>
    </row>
    <row r="130" spans="1:17" x14ac:dyDescent="0.2">
      <c r="A130" s="222">
        <f>A129+1</f>
        <v>3</v>
      </c>
      <c r="C130" s="444" t="s">
        <v>219</v>
      </c>
      <c r="E130" s="240">
        <f t="shared" ref="E130:P130" si="47">E545</f>
        <v>1</v>
      </c>
      <c r="F130" s="240">
        <f t="shared" si="47"/>
        <v>1</v>
      </c>
      <c r="G130" s="240">
        <f t="shared" si="47"/>
        <v>1</v>
      </c>
      <c r="H130" s="240">
        <f t="shared" si="47"/>
        <v>1</v>
      </c>
      <c r="I130" s="240">
        <f t="shared" si="47"/>
        <v>1</v>
      </c>
      <c r="J130" s="240">
        <f t="shared" si="47"/>
        <v>1</v>
      </c>
      <c r="K130" s="240">
        <f t="shared" si="47"/>
        <v>1</v>
      </c>
      <c r="L130" s="240">
        <f t="shared" si="47"/>
        <v>1</v>
      </c>
      <c r="M130" s="240">
        <f t="shared" si="47"/>
        <v>1</v>
      </c>
      <c r="N130" s="240">
        <f t="shared" si="47"/>
        <v>1</v>
      </c>
      <c r="O130" s="240">
        <f t="shared" si="47"/>
        <v>1</v>
      </c>
      <c r="P130" s="240">
        <f t="shared" si="47"/>
        <v>1</v>
      </c>
      <c r="Q130" s="240">
        <f>SUM(E130:P130)</f>
        <v>12</v>
      </c>
    </row>
    <row r="131" spans="1:17" x14ac:dyDescent="0.2">
      <c r="A131" s="222">
        <f>A130+1</f>
        <v>4</v>
      </c>
      <c r="C131" s="444" t="s">
        <v>567</v>
      </c>
      <c r="E131" s="245">
        <f t="shared" ref="E131:P131" si="48">E548</f>
        <v>161.1</v>
      </c>
      <c r="F131" s="245">
        <f t="shared" si="48"/>
        <v>142.80000000000001</v>
      </c>
      <c r="G131" s="245">
        <f t="shared" si="48"/>
        <v>70.5</v>
      </c>
      <c r="H131" s="245">
        <f t="shared" si="48"/>
        <v>36.6</v>
      </c>
      <c r="I131" s="245">
        <f t="shared" si="48"/>
        <v>15.2</v>
      </c>
      <c r="J131" s="245">
        <f t="shared" si="48"/>
        <v>2.9</v>
      </c>
      <c r="K131" s="245">
        <f t="shared" si="48"/>
        <v>3.2</v>
      </c>
      <c r="L131" s="245">
        <f t="shared" si="48"/>
        <v>3.4</v>
      </c>
      <c r="M131" s="245">
        <f t="shared" si="48"/>
        <v>3.8</v>
      </c>
      <c r="N131" s="245">
        <f t="shared" si="48"/>
        <v>19</v>
      </c>
      <c r="O131" s="245">
        <f t="shared" si="48"/>
        <v>51.7</v>
      </c>
      <c r="P131" s="245">
        <f t="shared" si="48"/>
        <v>95</v>
      </c>
      <c r="Q131" s="245">
        <f>SUM(E131:P131)</f>
        <v>605.19999999999993</v>
      </c>
    </row>
    <row r="132" spans="1:17" x14ac:dyDescent="0.2">
      <c r="A132" s="222">
        <f>A131+1</f>
        <v>5</v>
      </c>
      <c r="C132" s="444" t="s">
        <v>221</v>
      </c>
      <c r="E132" s="427">
        <f t="shared" ref="E132:P132" si="49">E551</f>
        <v>56.39</v>
      </c>
      <c r="F132" s="427">
        <f t="shared" si="49"/>
        <v>49.98</v>
      </c>
      <c r="G132" s="427">
        <f t="shared" si="49"/>
        <v>24.68</v>
      </c>
      <c r="H132" s="427">
        <f t="shared" si="49"/>
        <v>12.81</v>
      </c>
      <c r="I132" s="427">
        <f t="shared" si="49"/>
        <v>5.32</v>
      </c>
      <c r="J132" s="427">
        <f t="shared" si="49"/>
        <v>1.02</v>
      </c>
      <c r="K132" s="427">
        <f t="shared" si="49"/>
        <v>1.1200000000000001</v>
      </c>
      <c r="L132" s="427">
        <f t="shared" si="49"/>
        <v>1.19</v>
      </c>
      <c r="M132" s="427">
        <f t="shared" si="49"/>
        <v>1.33</v>
      </c>
      <c r="N132" s="427">
        <f t="shared" si="49"/>
        <v>6.65</v>
      </c>
      <c r="O132" s="427">
        <f t="shared" si="49"/>
        <v>18.100000000000001</v>
      </c>
      <c r="P132" s="427">
        <f t="shared" si="49"/>
        <v>33.25</v>
      </c>
      <c r="Q132" s="427">
        <f>SUM(E132:P132)</f>
        <v>211.84000000000003</v>
      </c>
    </row>
    <row r="133" spans="1:17" x14ac:dyDescent="0.2">
      <c r="A133" s="222">
        <f>A132+1</f>
        <v>6</v>
      </c>
      <c r="C133" s="444" t="s">
        <v>222</v>
      </c>
      <c r="E133" s="427">
        <f t="shared" ref="E133:P133" si="50">E553</f>
        <v>0</v>
      </c>
      <c r="F133" s="427">
        <f t="shared" si="50"/>
        <v>0</v>
      </c>
      <c r="G133" s="427">
        <f t="shared" si="50"/>
        <v>0</v>
      </c>
      <c r="H133" s="427">
        <f t="shared" si="50"/>
        <v>0</v>
      </c>
      <c r="I133" s="427">
        <f t="shared" si="50"/>
        <v>0</v>
      </c>
      <c r="J133" s="427">
        <f t="shared" si="50"/>
        <v>0</v>
      </c>
      <c r="K133" s="427">
        <f t="shared" si="50"/>
        <v>0</v>
      </c>
      <c r="L133" s="427">
        <f t="shared" si="50"/>
        <v>0</v>
      </c>
      <c r="M133" s="427">
        <f t="shared" si="50"/>
        <v>0</v>
      </c>
      <c r="N133" s="427">
        <f t="shared" si="50"/>
        <v>0</v>
      </c>
      <c r="O133" s="427">
        <f t="shared" si="50"/>
        <v>0</v>
      </c>
      <c r="P133" s="427">
        <f t="shared" si="50"/>
        <v>0</v>
      </c>
      <c r="Q133" s="427">
        <f>SUM(E133:P133)</f>
        <v>0</v>
      </c>
    </row>
    <row r="134" spans="1:17" x14ac:dyDescent="0.2">
      <c r="A134" s="446">
        <f>A133+1</f>
        <v>7</v>
      </c>
      <c r="B134" s="447"/>
      <c r="C134" s="448" t="s">
        <v>568</v>
      </c>
      <c r="D134" s="449"/>
      <c r="E134" s="450">
        <f t="shared" ref="E134:P134" si="51">E555</f>
        <v>56.39</v>
      </c>
      <c r="F134" s="450">
        <f t="shared" si="51"/>
        <v>49.98</v>
      </c>
      <c r="G134" s="450">
        <f t="shared" si="51"/>
        <v>24.68</v>
      </c>
      <c r="H134" s="450">
        <f t="shared" si="51"/>
        <v>12.81</v>
      </c>
      <c r="I134" s="450">
        <f t="shared" si="51"/>
        <v>5.32</v>
      </c>
      <c r="J134" s="450">
        <f t="shared" si="51"/>
        <v>1.02</v>
      </c>
      <c r="K134" s="450">
        <f t="shared" si="51"/>
        <v>1.1200000000000001</v>
      </c>
      <c r="L134" s="450">
        <f t="shared" si="51"/>
        <v>1.19</v>
      </c>
      <c r="M134" s="450">
        <f t="shared" si="51"/>
        <v>1.33</v>
      </c>
      <c r="N134" s="450">
        <f t="shared" si="51"/>
        <v>6.65</v>
      </c>
      <c r="O134" s="450">
        <f t="shared" si="51"/>
        <v>18.100000000000001</v>
      </c>
      <c r="P134" s="450">
        <f t="shared" si="51"/>
        <v>33.25</v>
      </c>
      <c r="Q134" s="450">
        <f>SUM(E134:P134)</f>
        <v>211.84000000000003</v>
      </c>
    </row>
    <row r="135" spans="1:17" x14ac:dyDescent="0.2">
      <c r="C135" s="455"/>
      <c r="G135" s="290"/>
      <c r="Q135" s="290"/>
    </row>
    <row r="136" spans="1:17" x14ac:dyDescent="0.2">
      <c r="A136" s="222">
        <f>A134+1</f>
        <v>8</v>
      </c>
      <c r="B136" s="219" t="str">
        <f>Input!A27</f>
        <v>LG2</v>
      </c>
      <c r="C136" s="219" t="str">
        <f>'Sch M 2.1'!B26</f>
        <v>LG&amp;E Commercial</v>
      </c>
      <c r="G136" s="290"/>
      <c r="Q136" s="290"/>
    </row>
    <row r="137" spans="1:17" x14ac:dyDescent="0.2">
      <c r="A137" s="222">
        <f>A136+1</f>
        <v>9</v>
      </c>
      <c r="C137" s="444" t="s">
        <v>219</v>
      </c>
      <c r="E137" s="240">
        <f t="shared" ref="E137:P137" si="52">E562</f>
        <v>1</v>
      </c>
      <c r="F137" s="240">
        <f t="shared" si="52"/>
        <v>1</v>
      </c>
      <c r="G137" s="240">
        <f t="shared" si="52"/>
        <v>1</v>
      </c>
      <c r="H137" s="240">
        <f t="shared" si="52"/>
        <v>1</v>
      </c>
      <c r="I137" s="240">
        <f t="shared" si="52"/>
        <v>1</v>
      </c>
      <c r="J137" s="240">
        <f t="shared" si="52"/>
        <v>1</v>
      </c>
      <c r="K137" s="240">
        <f t="shared" si="52"/>
        <v>1</v>
      </c>
      <c r="L137" s="240">
        <f t="shared" si="52"/>
        <v>1</v>
      </c>
      <c r="M137" s="240">
        <f t="shared" si="52"/>
        <v>1</v>
      </c>
      <c r="N137" s="240">
        <f t="shared" si="52"/>
        <v>1</v>
      </c>
      <c r="O137" s="240">
        <f t="shared" si="52"/>
        <v>1</v>
      </c>
      <c r="P137" s="240">
        <f t="shared" si="52"/>
        <v>1</v>
      </c>
      <c r="Q137" s="240">
        <f>SUM(E137:P137)</f>
        <v>12</v>
      </c>
    </row>
    <row r="138" spans="1:17" x14ac:dyDescent="0.2">
      <c r="A138" s="222">
        <f>A137+1</f>
        <v>10</v>
      </c>
      <c r="C138" s="444" t="s">
        <v>567</v>
      </c>
      <c r="E138" s="245">
        <f t="shared" ref="E138:P138" si="53">E565</f>
        <v>191.8</v>
      </c>
      <c r="F138" s="245">
        <f t="shared" si="53"/>
        <v>167.7</v>
      </c>
      <c r="G138" s="245">
        <f t="shared" si="53"/>
        <v>88.3</v>
      </c>
      <c r="H138" s="245">
        <f t="shared" si="53"/>
        <v>54</v>
      </c>
      <c r="I138" s="245">
        <f t="shared" si="53"/>
        <v>20.2</v>
      </c>
      <c r="J138" s="245">
        <f t="shared" si="53"/>
        <v>7.6</v>
      </c>
      <c r="K138" s="245">
        <f t="shared" si="53"/>
        <v>7.9</v>
      </c>
      <c r="L138" s="245">
        <f t="shared" si="53"/>
        <v>6.8</v>
      </c>
      <c r="M138" s="245">
        <f t="shared" si="53"/>
        <v>6.6</v>
      </c>
      <c r="N138" s="245">
        <f t="shared" si="53"/>
        <v>14.8</v>
      </c>
      <c r="O138" s="245">
        <f t="shared" si="53"/>
        <v>41.5</v>
      </c>
      <c r="P138" s="245">
        <f t="shared" si="53"/>
        <v>103.7</v>
      </c>
      <c r="Q138" s="245">
        <f>SUM(E138:P138)</f>
        <v>710.9</v>
      </c>
    </row>
    <row r="139" spans="1:17" x14ac:dyDescent="0.2">
      <c r="A139" s="222">
        <f>A138+1</f>
        <v>11</v>
      </c>
      <c r="C139" s="444" t="s">
        <v>221</v>
      </c>
      <c r="E139" s="427">
        <f t="shared" ref="E139:P139" si="54">E568</f>
        <v>67.13</v>
      </c>
      <c r="F139" s="427">
        <f t="shared" si="54"/>
        <v>58.7</v>
      </c>
      <c r="G139" s="427">
        <f t="shared" si="54"/>
        <v>30.91</v>
      </c>
      <c r="H139" s="427">
        <f t="shared" si="54"/>
        <v>18.899999999999999</v>
      </c>
      <c r="I139" s="427">
        <f t="shared" si="54"/>
        <v>7.07</v>
      </c>
      <c r="J139" s="427">
        <f t="shared" si="54"/>
        <v>2.66</v>
      </c>
      <c r="K139" s="427">
        <f t="shared" si="54"/>
        <v>2.77</v>
      </c>
      <c r="L139" s="427">
        <f t="shared" si="54"/>
        <v>2.38</v>
      </c>
      <c r="M139" s="427">
        <f t="shared" si="54"/>
        <v>2.31</v>
      </c>
      <c r="N139" s="427">
        <f t="shared" si="54"/>
        <v>5.18</v>
      </c>
      <c r="O139" s="427">
        <f t="shared" si="54"/>
        <v>14.53</v>
      </c>
      <c r="P139" s="427">
        <f t="shared" si="54"/>
        <v>36.299999999999997</v>
      </c>
      <c r="Q139" s="427">
        <f>SUM(E139:P139)</f>
        <v>248.84000000000003</v>
      </c>
    </row>
    <row r="140" spans="1:17" x14ac:dyDescent="0.2">
      <c r="A140" s="222">
        <f>A139+1</f>
        <v>12</v>
      </c>
      <c r="C140" s="444" t="s">
        <v>222</v>
      </c>
      <c r="E140" s="427">
        <f t="shared" ref="E140:P140" si="55">E570</f>
        <v>0</v>
      </c>
      <c r="F140" s="427">
        <f t="shared" si="55"/>
        <v>0</v>
      </c>
      <c r="G140" s="427">
        <f t="shared" si="55"/>
        <v>0</v>
      </c>
      <c r="H140" s="427">
        <f t="shared" si="55"/>
        <v>0</v>
      </c>
      <c r="I140" s="427">
        <f t="shared" si="55"/>
        <v>0</v>
      </c>
      <c r="J140" s="427">
        <f t="shared" si="55"/>
        <v>0</v>
      </c>
      <c r="K140" s="427">
        <f t="shared" si="55"/>
        <v>0</v>
      </c>
      <c r="L140" s="427">
        <f t="shared" si="55"/>
        <v>0</v>
      </c>
      <c r="M140" s="427">
        <f t="shared" si="55"/>
        <v>0</v>
      </c>
      <c r="N140" s="427">
        <f t="shared" si="55"/>
        <v>0</v>
      </c>
      <c r="O140" s="427">
        <f t="shared" si="55"/>
        <v>0</v>
      </c>
      <c r="P140" s="427">
        <f t="shared" si="55"/>
        <v>0</v>
      </c>
      <c r="Q140" s="427">
        <f>SUM(E140:P140)</f>
        <v>0</v>
      </c>
    </row>
    <row r="141" spans="1:17" x14ac:dyDescent="0.2">
      <c r="A141" s="446">
        <f>A140+1</f>
        <v>13</v>
      </c>
      <c r="B141" s="447"/>
      <c r="C141" s="448" t="s">
        <v>568</v>
      </c>
      <c r="D141" s="449"/>
      <c r="E141" s="450">
        <f t="shared" ref="E141:P141" si="56">E572</f>
        <v>67.13</v>
      </c>
      <c r="F141" s="450">
        <f t="shared" si="56"/>
        <v>58.7</v>
      </c>
      <c r="G141" s="450">
        <f t="shared" si="56"/>
        <v>30.91</v>
      </c>
      <c r="H141" s="450">
        <f t="shared" si="56"/>
        <v>18.899999999999999</v>
      </c>
      <c r="I141" s="450">
        <f t="shared" si="56"/>
        <v>7.07</v>
      </c>
      <c r="J141" s="450">
        <f t="shared" si="56"/>
        <v>2.66</v>
      </c>
      <c r="K141" s="450">
        <f t="shared" si="56"/>
        <v>2.77</v>
      </c>
      <c r="L141" s="450">
        <f t="shared" si="56"/>
        <v>2.38</v>
      </c>
      <c r="M141" s="450">
        <f t="shared" si="56"/>
        <v>2.31</v>
      </c>
      <c r="N141" s="450">
        <f t="shared" si="56"/>
        <v>5.18</v>
      </c>
      <c r="O141" s="450">
        <f t="shared" si="56"/>
        <v>14.53</v>
      </c>
      <c r="P141" s="450">
        <f t="shared" si="56"/>
        <v>36.299999999999997</v>
      </c>
      <c r="Q141" s="450">
        <f>SUM(E141:P141)</f>
        <v>248.84000000000003</v>
      </c>
    </row>
    <row r="142" spans="1:17" x14ac:dyDescent="0.2">
      <c r="A142" s="302"/>
      <c r="B142" s="301"/>
      <c r="C142" s="455"/>
      <c r="D142" s="300"/>
      <c r="E142" s="415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</row>
    <row r="143" spans="1:17" x14ac:dyDescent="0.2">
      <c r="A143" s="222">
        <f>A141+1</f>
        <v>14</v>
      </c>
      <c r="B143" s="219" t="str">
        <f>Input!A28</f>
        <v>LG3</v>
      </c>
      <c r="C143" s="219" t="str">
        <f>'Sch M 2.1'!B27</f>
        <v>LG&amp;E Residential</v>
      </c>
      <c r="G143" s="290"/>
      <c r="Q143" s="290"/>
    </row>
    <row r="144" spans="1:17" x14ac:dyDescent="0.2">
      <c r="A144" s="222">
        <f>A143+1</f>
        <v>15</v>
      </c>
      <c r="C144" s="444" t="s">
        <v>219</v>
      </c>
      <c r="E144" s="240">
        <f t="shared" ref="E144:P144" si="57">E595</f>
        <v>1</v>
      </c>
      <c r="F144" s="240">
        <f t="shared" si="57"/>
        <v>1</v>
      </c>
      <c r="G144" s="240">
        <f t="shared" si="57"/>
        <v>1</v>
      </c>
      <c r="H144" s="240">
        <f t="shared" si="57"/>
        <v>1</v>
      </c>
      <c r="I144" s="240">
        <f t="shared" si="57"/>
        <v>1</v>
      </c>
      <c r="J144" s="240">
        <f t="shared" si="57"/>
        <v>1</v>
      </c>
      <c r="K144" s="240">
        <f t="shared" si="57"/>
        <v>1</v>
      </c>
      <c r="L144" s="240">
        <f t="shared" si="57"/>
        <v>1</v>
      </c>
      <c r="M144" s="240">
        <f t="shared" si="57"/>
        <v>1</v>
      </c>
      <c r="N144" s="240">
        <f t="shared" si="57"/>
        <v>1</v>
      </c>
      <c r="O144" s="240">
        <f t="shared" si="57"/>
        <v>1</v>
      </c>
      <c r="P144" s="240">
        <f t="shared" si="57"/>
        <v>1</v>
      </c>
      <c r="Q144" s="240">
        <f>SUM(E144:P144)</f>
        <v>12</v>
      </c>
    </row>
    <row r="145" spans="1:17" x14ac:dyDescent="0.2">
      <c r="A145" s="222">
        <f>A144+1</f>
        <v>16</v>
      </c>
      <c r="C145" s="444" t="s">
        <v>567</v>
      </c>
      <c r="E145" s="245">
        <f t="shared" ref="E145:P145" si="58">E601</f>
        <v>91.8</v>
      </c>
      <c r="F145" s="245">
        <f t="shared" si="58"/>
        <v>73.400000000000006</v>
      </c>
      <c r="G145" s="245">
        <f t="shared" si="58"/>
        <v>45.4</v>
      </c>
      <c r="H145" s="245">
        <f t="shared" si="58"/>
        <v>104.5</v>
      </c>
      <c r="I145" s="245">
        <f t="shared" si="58"/>
        <v>67.400000000000006</v>
      </c>
      <c r="J145" s="245">
        <f t="shared" si="58"/>
        <v>26.5</v>
      </c>
      <c r="K145" s="245">
        <f t="shared" si="58"/>
        <v>26.2</v>
      </c>
      <c r="L145" s="245">
        <f t="shared" si="58"/>
        <v>11.8</v>
      </c>
      <c r="M145" s="245">
        <f t="shared" si="58"/>
        <v>26.2</v>
      </c>
      <c r="N145" s="245">
        <f t="shared" si="58"/>
        <v>75.900000000000006</v>
      </c>
      <c r="O145" s="245">
        <f t="shared" si="58"/>
        <v>105.5</v>
      </c>
      <c r="P145" s="245">
        <f t="shared" si="58"/>
        <v>59.5</v>
      </c>
      <c r="Q145" s="245">
        <f>SUM(E145:P145)</f>
        <v>714.1</v>
      </c>
    </row>
    <row r="146" spans="1:17" x14ac:dyDescent="0.2">
      <c r="A146" s="222">
        <f>A145+1</f>
        <v>17</v>
      </c>
      <c r="C146" s="444" t="s">
        <v>221</v>
      </c>
      <c r="E146" s="427">
        <f t="shared" ref="E146:P146" si="59">E607</f>
        <v>32.630000000000003</v>
      </c>
      <c r="F146" s="427">
        <f t="shared" si="59"/>
        <v>26.189999999999998</v>
      </c>
      <c r="G146" s="427">
        <f t="shared" si="59"/>
        <v>16.39</v>
      </c>
      <c r="H146" s="427">
        <f t="shared" si="59"/>
        <v>37.080000000000005</v>
      </c>
      <c r="I146" s="427">
        <f t="shared" si="59"/>
        <v>24.09</v>
      </c>
      <c r="J146" s="427">
        <f t="shared" si="59"/>
        <v>9.6399999999999988</v>
      </c>
      <c r="K146" s="427">
        <f t="shared" si="59"/>
        <v>9.67</v>
      </c>
      <c r="L146" s="427">
        <f t="shared" si="59"/>
        <v>4.63</v>
      </c>
      <c r="M146" s="427">
        <f t="shared" si="59"/>
        <v>9.67</v>
      </c>
      <c r="N146" s="427">
        <f t="shared" si="59"/>
        <v>27.07</v>
      </c>
      <c r="O146" s="427">
        <f t="shared" si="59"/>
        <v>37.43</v>
      </c>
      <c r="P146" s="427">
        <f t="shared" si="59"/>
        <v>21.33</v>
      </c>
      <c r="Q146" s="427">
        <f>SUM(E146:P146)</f>
        <v>255.82</v>
      </c>
    </row>
    <row r="147" spans="1:17" x14ac:dyDescent="0.2">
      <c r="A147" s="222">
        <f>A146+1</f>
        <v>18</v>
      </c>
      <c r="C147" s="444" t="s">
        <v>222</v>
      </c>
      <c r="E147" s="427">
        <f t="shared" ref="E147:P147" si="60">E609</f>
        <v>0</v>
      </c>
      <c r="F147" s="427">
        <f t="shared" si="60"/>
        <v>0</v>
      </c>
      <c r="G147" s="427">
        <f t="shared" si="60"/>
        <v>0</v>
      </c>
      <c r="H147" s="427">
        <f t="shared" si="60"/>
        <v>0</v>
      </c>
      <c r="I147" s="427">
        <f t="shared" si="60"/>
        <v>0</v>
      </c>
      <c r="J147" s="427">
        <f t="shared" si="60"/>
        <v>0</v>
      </c>
      <c r="K147" s="427">
        <f t="shared" si="60"/>
        <v>0</v>
      </c>
      <c r="L147" s="427">
        <f t="shared" si="60"/>
        <v>0</v>
      </c>
      <c r="M147" s="427">
        <f t="shared" si="60"/>
        <v>0</v>
      </c>
      <c r="N147" s="427">
        <f t="shared" si="60"/>
        <v>0</v>
      </c>
      <c r="O147" s="427">
        <f t="shared" si="60"/>
        <v>0</v>
      </c>
      <c r="P147" s="427">
        <f t="shared" si="60"/>
        <v>0</v>
      </c>
      <c r="Q147" s="427">
        <f>SUM(E147:P147)</f>
        <v>0</v>
      </c>
    </row>
    <row r="148" spans="1:17" x14ac:dyDescent="0.2">
      <c r="A148" s="446">
        <f>A147+1</f>
        <v>19</v>
      </c>
      <c r="B148" s="447"/>
      <c r="C148" s="448" t="s">
        <v>568</v>
      </c>
      <c r="D148" s="449"/>
      <c r="E148" s="450">
        <f t="shared" ref="E148:P148" si="61">E611</f>
        <v>32.630000000000003</v>
      </c>
      <c r="F148" s="450">
        <f t="shared" si="61"/>
        <v>26.189999999999998</v>
      </c>
      <c r="G148" s="450">
        <f t="shared" si="61"/>
        <v>16.39</v>
      </c>
      <c r="H148" s="450">
        <f t="shared" si="61"/>
        <v>37.080000000000005</v>
      </c>
      <c r="I148" s="450">
        <f t="shared" si="61"/>
        <v>24.09</v>
      </c>
      <c r="J148" s="450">
        <f t="shared" si="61"/>
        <v>9.6399999999999988</v>
      </c>
      <c r="K148" s="450">
        <f t="shared" si="61"/>
        <v>9.67</v>
      </c>
      <c r="L148" s="450">
        <f t="shared" si="61"/>
        <v>4.63</v>
      </c>
      <c r="M148" s="450">
        <f t="shared" si="61"/>
        <v>9.67</v>
      </c>
      <c r="N148" s="450">
        <f t="shared" si="61"/>
        <v>27.07</v>
      </c>
      <c r="O148" s="450">
        <f t="shared" si="61"/>
        <v>37.43</v>
      </c>
      <c r="P148" s="450">
        <f t="shared" si="61"/>
        <v>21.33</v>
      </c>
      <c r="Q148" s="450">
        <f>SUM(E148:P148)</f>
        <v>255.82</v>
      </c>
    </row>
    <row r="149" spans="1:17" x14ac:dyDescent="0.2">
      <c r="G149" s="290"/>
      <c r="Q149" s="290"/>
    </row>
    <row r="150" spans="1:17" x14ac:dyDescent="0.2">
      <c r="A150" s="222">
        <f>A148+1</f>
        <v>20</v>
      </c>
      <c r="B150" s="219" t="str">
        <f>Input!A29</f>
        <v>LG4</v>
      </c>
      <c r="C150" s="219" t="str">
        <f>'Sch M 2.1'!B28</f>
        <v>LG&amp;E Residential</v>
      </c>
      <c r="G150" s="290"/>
      <c r="Q150" s="290"/>
    </row>
    <row r="151" spans="1:17" x14ac:dyDescent="0.2">
      <c r="A151" s="222">
        <f>A150+1</f>
        <v>21</v>
      </c>
      <c r="C151" s="444" t="s">
        <v>219</v>
      </c>
      <c r="E151" s="240">
        <f t="shared" ref="E151:P151" si="62">E618</f>
        <v>1</v>
      </c>
      <c r="F151" s="240">
        <f t="shared" si="62"/>
        <v>1</v>
      </c>
      <c r="G151" s="240">
        <f t="shared" si="62"/>
        <v>1</v>
      </c>
      <c r="H151" s="240">
        <f t="shared" si="62"/>
        <v>1</v>
      </c>
      <c r="I151" s="240">
        <f t="shared" si="62"/>
        <v>1</v>
      </c>
      <c r="J151" s="240">
        <f t="shared" si="62"/>
        <v>1</v>
      </c>
      <c r="K151" s="240">
        <f t="shared" si="62"/>
        <v>1</v>
      </c>
      <c r="L151" s="240">
        <f t="shared" si="62"/>
        <v>1</v>
      </c>
      <c r="M151" s="240">
        <f t="shared" si="62"/>
        <v>1</v>
      </c>
      <c r="N151" s="240">
        <f t="shared" si="62"/>
        <v>1</v>
      </c>
      <c r="O151" s="240">
        <f t="shared" si="62"/>
        <v>1</v>
      </c>
      <c r="P151" s="240">
        <f t="shared" si="62"/>
        <v>1</v>
      </c>
      <c r="Q151" s="240">
        <f>SUM(E151:P151)</f>
        <v>12</v>
      </c>
    </row>
    <row r="152" spans="1:17" x14ac:dyDescent="0.2">
      <c r="A152" s="222">
        <f>A151+1</f>
        <v>22</v>
      </c>
      <c r="C152" s="444" t="s">
        <v>567</v>
      </c>
      <c r="E152" s="245">
        <f t="shared" ref="E152:P152" si="63">E621</f>
        <v>49.5</v>
      </c>
      <c r="F152" s="245">
        <f t="shared" si="63"/>
        <v>58.7</v>
      </c>
      <c r="G152" s="245">
        <f t="shared" si="63"/>
        <v>42</v>
      </c>
      <c r="H152" s="245">
        <f t="shared" si="63"/>
        <v>20.7</v>
      </c>
      <c r="I152" s="245">
        <f t="shared" si="63"/>
        <v>11.2</v>
      </c>
      <c r="J152" s="245">
        <f t="shared" si="63"/>
        <v>4</v>
      </c>
      <c r="K152" s="245">
        <f t="shared" si="63"/>
        <v>2.6</v>
      </c>
      <c r="L152" s="245">
        <f t="shared" si="63"/>
        <v>2.8</v>
      </c>
      <c r="M152" s="245">
        <f t="shared" si="63"/>
        <v>3</v>
      </c>
      <c r="N152" s="245">
        <f t="shared" si="63"/>
        <v>3.9</v>
      </c>
      <c r="O152" s="245">
        <f t="shared" si="63"/>
        <v>18.899999999999999</v>
      </c>
      <c r="P152" s="245">
        <f t="shared" si="63"/>
        <v>40.299999999999997</v>
      </c>
      <c r="Q152" s="245">
        <f>SUM(E152:P152)</f>
        <v>257.59999999999997</v>
      </c>
    </row>
    <row r="153" spans="1:17" x14ac:dyDescent="0.2">
      <c r="A153" s="222">
        <f>A152+1</f>
        <v>23</v>
      </c>
      <c r="C153" s="444" t="s">
        <v>221</v>
      </c>
      <c r="E153" s="427">
        <f t="shared" ref="E153:P153" si="64">E624</f>
        <v>19.8</v>
      </c>
      <c r="F153" s="427">
        <f t="shared" si="64"/>
        <v>23.48</v>
      </c>
      <c r="G153" s="427">
        <f t="shared" si="64"/>
        <v>16.8</v>
      </c>
      <c r="H153" s="427">
        <f t="shared" si="64"/>
        <v>8.2799999999999994</v>
      </c>
      <c r="I153" s="427">
        <f t="shared" si="64"/>
        <v>4.4800000000000004</v>
      </c>
      <c r="J153" s="427">
        <f t="shared" si="64"/>
        <v>1.6</v>
      </c>
      <c r="K153" s="427">
        <f t="shared" si="64"/>
        <v>1.04</v>
      </c>
      <c r="L153" s="427">
        <f t="shared" si="64"/>
        <v>1.1200000000000001</v>
      </c>
      <c r="M153" s="427">
        <f t="shared" si="64"/>
        <v>1.2</v>
      </c>
      <c r="N153" s="427">
        <f t="shared" si="64"/>
        <v>1.56</v>
      </c>
      <c r="O153" s="427">
        <f t="shared" si="64"/>
        <v>7.56</v>
      </c>
      <c r="P153" s="427">
        <f t="shared" si="64"/>
        <v>16.12</v>
      </c>
      <c r="Q153" s="427">
        <f>SUM(E153:P153)</f>
        <v>103.04000000000002</v>
      </c>
    </row>
    <row r="154" spans="1:17" x14ac:dyDescent="0.2">
      <c r="A154" s="222">
        <f>A153+1</f>
        <v>24</v>
      </c>
      <c r="C154" s="444" t="s">
        <v>222</v>
      </c>
      <c r="E154" s="427">
        <f t="shared" ref="E154:P154" si="65">E626</f>
        <v>0</v>
      </c>
      <c r="F154" s="427">
        <f t="shared" si="65"/>
        <v>0</v>
      </c>
      <c r="G154" s="427">
        <f t="shared" si="65"/>
        <v>0</v>
      </c>
      <c r="H154" s="427">
        <f t="shared" si="65"/>
        <v>0</v>
      </c>
      <c r="I154" s="427">
        <f t="shared" si="65"/>
        <v>0</v>
      </c>
      <c r="J154" s="427">
        <f t="shared" si="65"/>
        <v>0</v>
      </c>
      <c r="K154" s="427">
        <f t="shared" si="65"/>
        <v>0</v>
      </c>
      <c r="L154" s="427">
        <f t="shared" si="65"/>
        <v>0</v>
      </c>
      <c r="M154" s="427">
        <f t="shared" si="65"/>
        <v>0</v>
      </c>
      <c r="N154" s="427">
        <f t="shared" si="65"/>
        <v>0</v>
      </c>
      <c r="O154" s="427">
        <f t="shared" si="65"/>
        <v>0</v>
      </c>
      <c r="P154" s="427">
        <f t="shared" si="65"/>
        <v>0</v>
      </c>
      <c r="Q154" s="427">
        <f>SUM(E154:P154)</f>
        <v>0</v>
      </c>
    </row>
    <row r="155" spans="1:17" x14ac:dyDescent="0.2">
      <c r="A155" s="446">
        <f>A154+1</f>
        <v>25</v>
      </c>
      <c r="B155" s="447"/>
      <c r="C155" s="448" t="s">
        <v>568</v>
      </c>
      <c r="D155" s="449"/>
      <c r="E155" s="450">
        <f t="shared" ref="E155:P155" si="66">E628</f>
        <v>19.8</v>
      </c>
      <c r="F155" s="450">
        <f t="shared" si="66"/>
        <v>23.48</v>
      </c>
      <c r="G155" s="450">
        <f t="shared" si="66"/>
        <v>16.8</v>
      </c>
      <c r="H155" s="450">
        <f t="shared" si="66"/>
        <v>8.2799999999999994</v>
      </c>
      <c r="I155" s="450">
        <f t="shared" si="66"/>
        <v>4.4800000000000004</v>
      </c>
      <c r="J155" s="450">
        <f t="shared" si="66"/>
        <v>1.6</v>
      </c>
      <c r="K155" s="450">
        <f t="shared" si="66"/>
        <v>1.04</v>
      </c>
      <c r="L155" s="450">
        <f t="shared" si="66"/>
        <v>1.1200000000000001</v>
      </c>
      <c r="M155" s="450">
        <f t="shared" si="66"/>
        <v>1.2</v>
      </c>
      <c r="N155" s="450">
        <f t="shared" si="66"/>
        <v>1.56</v>
      </c>
      <c r="O155" s="450">
        <f t="shared" si="66"/>
        <v>7.56</v>
      </c>
      <c r="P155" s="450">
        <f t="shared" si="66"/>
        <v>16.12</v>
      </c>
      <c r="Q155" s="450">
        <f>SUM(E155:P155)</f>
        <v>103.04000000000002</v>
      </c>
    </row>
    <row r="156" spans="1:17" x14ac:dyDescent="0.2">
      <c r="C156" s="455"/>
      <c r="G156" s="290"/>
      <c r="Q156" s="290"/>
    </row>
    <row r="157" spans="1:17" x14ac:dyDescent="0.2">
      <c r="A157" s="222">
        <f>A155+1</f>
        <v>26</v>
      </c>
      <c r="B157" s="219" t="str">
        <f>Input!A30</f>
        <v>GSO</v>
      </c>
      <c r="C157" s="219" t="str">
        <f>'Sch M 2.1'!B29</f>
        <v>General Service - Commercial</v>
      </c>
      <c r="G157" s="290"/>
      <c r="Q157" s="290"/>
    </row>
    <row r="158" spans="1:17" x14ac:dyDescent="0.2">
      <c r="A158" s="222">
        <f>A157+1</f>
        <v>27</v>
      </c>
      <c r="C158" s="444" t="s">
        <v>219</v>
      </c>
      <c r="E158" s="240">
        <f t="shared" ref="E158:P158" si="67">E651</f>
        <v>10207</v>
      </c>
      <c r="F158" s="240">
        <f t="shared" si="67"/>
        <v>10271</v>
      </c>
      <c r="G158" s="240">
        <f t="shared" si="67"/>
        <v>10035</v>
      </c>
      <c r="H158" s="240">
        <f t="shared" si="67"/>
        <v>10003</v>
      </c>
      <c r="I158" s="240">
        <f t="shared" si="67"/>
        <v>9882</v>
      </c>
      <c r="J158" s="240">
        <f t="shared" si="67"/>
        <v>9780</v>
      </c>
      <c r="K158" s="240">
        <f t="shared" si="67"/>
        <v>9783</v>
      </c>
      <c r="L158" s="240">
        <f t="shared" si="67"/>
        <v>9770</v>
      </c>
      <c r="M158" s="240">
        <f t="shared" si="67"/>
        <v>9739</v>
      </c>
      <c r="N158" s="240">
        <f t="shared" si="67"/>
        <v>9772</v>
      </c>
      <c r="O158" s="240">
        <f t="shared" si="67"/>
        <v>9915</v>
      </c>
      <c r="P158" s="240">
        <f t="shared" si="67"/>
        <v>10076</v>
      </c>
      <c r="Q158" s="240">
        <f>SUM(E158:P158)</f>
        <v>119233</v>
      </c>
    </row>
    <row r="159" spans="1:17" x14ac:dyDescent="0.2">
      <c r="A159" s="222">
        <f>A158+1</f>
        <v>28</v>
      </c>
      <c r="C159" s="444" t="s">
        <v>567</v>
      </c>
      <c r="E159" s="245">
        <f t="shared" ref="E159:P159" si="68">E660</f>
        <v>660740</v>
      </c>
      <c r="F159" s="245">
        <f t="shared" si="68"/>
        <v>655060.9</v>
      </c>
      <c r="G159" s="245">
        <f t="shared" si="68"/>
        <v>456847.5</v>
      </c>
      <c r="H159" s="245">
        <f t="shared" si="68"/>
        <v>277301.89999999997</v>
      </c>
      <c r="I159" s="245">
        <f t="shared" si="68"/>
        <v>134480.19999999998</v>
      </c>
      <c r="J159" s="245">
        <f t="shared" si="68"/>
        <v>80718.299999999988</v>
      </c>
      <c r="K159" s="245">
        <f t="shared" si="68"/>
        <v>56728.5</v>
      </c>
      <c r="L159" s="245">
        <f t="shared" si="68"/>
        <v>52785.7</v>
      </c>
      <c r="M159" s="245">
        <f t="shared" si="68"/>
        <v>51801.2</v>
      </c>
      <c r="N159" s="245">
        <f t="shared" si="68"/>
        <v>77144.100000000006</v>
      </c>
      <c r="O159" s="245">
        <f t="shared" si="68"/>
        <v>171035.9</v>
      </c>
      <c r="P159" s="245">
        <f t="shared" si="68"/>
        <v>423570.9</v>
      </c>
      <c r="Q159" s="245">
        <f>SUM(E159:P159)</f>
        <v>3098215.1</v>
      </c>
    </row>
    <row r="160" spans="1:17" x14ac:dyDescent="0.2">
      <c r="A160" s="222">
        <f>A159+1</f>
        <v>29</v>
      </c>
      <c r="C160" s="444" t="s">
        <v>221</v>
      </c>
      <c r="E160" s="427">
        <f>E668+E675</f>
        <v>1756583.03</v>
      </c>
      <c r="F160" s="427">
        <f t="shared" ref="F160:P160" si="69">F668+F675</f>
        <v>1756857.1899999997</v>
      </c>
      <c r="G160" s="427">
        <f t="shared" si="69"/>
        <v>1376371.55</v>
      </c>
      <c r="H160" s="427">
        <f t="shared" si="69"/>
        <v>1020002.66</v>
      </c>
      <c r="I160" s="427">
        <f t="shared" si="69"/>
        <v>725886.50000000012</v>
      </c>
      <c r="J160" s="427">
        <f t="shared" si="69"/>
        <v>612680.82999999996</v>
      </c>
      <c r="K160" s="427">
        <f t="shared" si="69"/>
        <v>565185.08000000007</v>
      </c>
      <c r="L160" s="427">
        <f t="shared" si="69"/>
        <v>556594.91999999993</v>
      </c>
      <c r="M160" s="427">
        <f t="shared" si="69"/>
        <v>553487.03999999992</v>
      </c>
      <c r="N160" s="427">
        <f t="shared" si="69"/>
        <v>606603.40000000014</v>
      </c>
      <c r="O160" s="427">
        <f t="shared" si="69"/>
        <v>802478.94</v>
      </c>
      <c r="P160" s="427">
        <f t="shared" si="69"/>
        <v>1302343.94</v>
      </c>
      <c r="Q160" s="427">
        <f>SUM(E160:P160)</f>
        <v>11635075.079999998</v>
      </c>
    </row>
    <row r="161" spans="1:17" x14ac:dyDescent="0.2">
      <c r="A161" s="222">
        <f>A160+1</f>
        <v>30</v>
      </c>
      <c r="C161" s="444" t="s">
        <v>222</v>
      </c>
      <c r="E161" s="427">
        <f t="shared" ref="E161:P161" si="70">E670</f>
        <v>1459640.73</v>
      </c>
      <c r="F161" s="427">
        <f t="shared" si="70"/>
        <v>1447095.03</v>
      </c>
      <c r="G161" s="427">
        <f t="shared" si="70"/>
        <v>1009221.81</v>
      </c>
      <c r="H161" s="427">
        <f t="shared" si="70"/>
        <v>612587.63</v>
      </c>
      <c r="I161" s="427">
        <f t="shared" si="70"/>
        <v>297080.21000000002</v>
      </c>
      <c r="J161" s="427">
        <f t="shared" si="70"/>
        <v>178314.8</v>
      </c>
      <c r="K161" s="427">
        <f t="shared" si="70"/>
        <v>125318.93</v>
      </c>
      <c r="L161" s="427">
        <f t="shared" si="70"/>
        <v>116608.89</v>
      </c>
      <c r="M161" s="427">
        <f t="shared" si="70"/>
        <v>114434.03</v>
      </c>
      <c r="N161" s="427">
        <f t="shared" si="70"/>
        <v>170419.03</v>
      </c>
      <c r="O161" s="427">
        <f t="shared" si="70"/>
        <v>377835.41</v>
      </c>
      <c r="P161" s="427">
        <f t="shared" si="70"/>
        <v>935710.48</v>
      </c>
      <c r="Q161" s="427">
        <f>SUM(E161:P161)</f>
        <v>6844266.9800000004</v>
      </c>
    </row>
    <row r="162" spans="1:17" x14ac:dyDescent="0.2">
      <c r="A162" s="446">
        <f>A161+1</f>
        <v>31</v>
      </c>
      <c r="B162" s="447"/>
      <c r="C162" s="448" t="s">
        <v>568</v>
      </c>
      <c r="D162" s="449"/>
      <c r="E162" s="450">
        <f t="shared" ref="E162:P162" si="71">E677</f>
        <v>3216223.76</v>
      </c>
      <c r="F162" s="450">
        <f t="shared" si="71"/>
        <v>3203952.22</v>
      </c>
      <c r="G162" s="450">
        <f t="shared" si="71"/>
        <v>2385593.36</v>
      </c>
      <c r="H162" s="450">
        <f t="shared" si="71"/>
        <v>1632590.29</v>
      </c>
      <c r="I162" s="450">
        <f t="shared" si="71"/>
        <v>1022966.7100000001</v>
      </c>
      <c r="J162" s="450">
        <f t="shared" si="71"/>
        <v>790995.62999999989</v>
      </c>
      <c r="K162" s="450">
        <f t="shared" si="71"/>
        <v>690504.01000000013</v>
      </c>
      <c r="L162" s="450">
        <f t="shared" si="71"/>
        <v>673203.80999999994</v>
      </c>
      <c r="M162" s="450">
        <f t="shared" si="71"/>
        <v>667921.06999999995</v>
      </c>
      <c r="N162" s="450">
        <f t="shared" si="71"/>
        <v>777022.43000000017</v>
      </c>
      <c r="O162" s="450">
        <f t="shared" si="71"/>
        <v>1180314.3500000001</v>
      </c>
      <c r="P162" s="450">
        <f t="shared" si="71"/>
        <v>2238054.42</v>
      </c>
      <c r="Q162" s="450">
        <f>SUM(E162:P162)</f>
        <v>18479342.059999999</v>
      </c>
    </row>
    <row r="163" spans="1:17" x14ac:dyDescent="0.2">
      <c r="A163" s="302"/>
      <c r="B163" s="301"/>
      <c r="C163" s="455"/>
      <c r="D163" s="300"/>
      <c r="E163" s="486"/>
      <c r="F163" s="486"/>
      <c r="G163" s="486"/>
      <c r="H163" s="486"/>
      <c r="I163" s="486"/>
      <c r="J163" s="486"/>
      <c r="K163" s="486"/>
      <c r="L163" s="486"/>
      <c r="M163" s="486"/>
      <c r="N163" s="486"/>
      <c r="O163" s="486"/>
      <c r="P163" s="486"/>
      <c r="Q163" s="486"/>
    </row>
    <row r="164" spans="1:17" x14ac:dyDescent="0.2">
      <c r="A164" s="302"/>
      <c r="B164" s="301"/>
      <c r="C164" s="455"/>
      <c r="D164" s="300"/>
      <c r="E164" s="486"/>
      <c r="F164" s="486"/>
      <c r="G164" s="486"/>
      <c r="H164" s="486"/>
      <c r="I164" s="486"/>
      <c r="J164" s="486"/>
      <c r="K164" s="486"/>
      <c r="L164" s="486"/>
      <c r="M164" s="486"/>
      <c r="N164" s="486"/>
      <c r="O164" s="486"/>
      <c r="P164" s="486"/>
      <c r="Q164" s="486"/>
    </row>
    <row r="165" spans="1:17" x14ac:dyDescent="0.2">
      <c r="A165" s="302" t="str">
        <f>$A$108</f>
        <v>[1] Reflects Normalized Volumes.</v>
      </c>
      <c r="B165" s="301"/>
      <c r="C165" s="455"/>
      <c r="D165" s="300"/>
      <c r="E165" s="486"/>
      <c r="F165" s="486"/>
      <c r="G165" s="486"/>
      <c r="H165" s="486"/>
      <c r="I165" s="486"/>
      <c r="J165" s="486"/>
      <c r="K165" s="486"/>
      <c r="L165" s="486"/>
      <c r="M165" s="486"/>
      <c r="N165" s="486"/>
      <c r="O165" s="486"/>
      <c r="P165" s="486"/>
      <c r="Q165" s="486"/>
    </row>
    <row r="166" spans="1:17" x14ac:dyDescent="0.2">
      <c r="A166" s="222" t="str">
        <f>$A$109</f>
        <v>[2] See Schedule M-2.2 Pages 8 through 21 for detail.</v>
      </c>
      <c r="G166" s="290"/>
      <c r="Q166" s="290"/>
    </row>
    <row r="167" spans="1:17" x14ac:dyDescent="0.2">
      <c r="A167" s="993" t="str">
        <f>CONAME</f>
        <v>Columbia Gas of Kentucky, Inc.</v>
      </c>
      <c r="B167" s="993"/>
      <c r="C167" s="993"/>
      <c r="D167" s="993"/>
      <c r="E167" s="993"/>
      <c r="F167" s="993"/>
      <c r="G167" s="993"/>
      <c r="H167" s="993"/>
      <c r="I167" s="993"/>
      <c r="J167" s="993"/>
      <c r="K167" s="993"/>
      <c r="L167" s="993"/>
      <c r="M167" s="993"/>
      <c r="N167" s="993"/>
      <c r="O167" s="993"/>
      <c r="P167" s="993"/>
      <c r="Q167" s="993"/>
    </row>
    <row r="168" spans="1:17" x14ac:dyDescent="0.2">
      <c r="A168" s="981" t="str">
        <f>case</f>
        <v>Case No. 2016-00162</v>
      </c>
      <c r="B168" s="981"/>
      <c r="C168" s="981"/>
      <c r="D168" s="981"/>
      <c r="E168" s="981"/>
      <c r="F168" s="981"/>
      <c r="G168" s="981"/>
      <c r="H168" s="981"/>
      <c r="I168" s="981"/>
      <c r="J168" s="981"/>
      <c r="K168" s="981"/>
      <c r="L168" s="981"/>
      <c r="M168" s="981"/>
      <c r="N168" s="981"/>
      <c r="O168" s="981"/>
      <c r="P168" s="981"/>
      <c r="Q168" s="981"/>
    </row>
    <row r="169" spans="1:17" x14ac:dyDescent="0.2">
      <c r="A169" s="994" t="s">
        <v>494</v>
      </c>
      <c r="B169" s="994"/>
      <c r="C169" s="994"/>
      <c r="D169" s="994"/>
      <c r="E169" s="994"/>
      <c r="F169" s="994"/>
      <c r="G169" s="994"/>
      <c r="H169" s="994"/>
      <c r="I169" s="994"/>
      <c r="J169" s="994"/>
      <c r="K169" s="994"/>
      <c r="L169" s="994"/>
      <c r="M169" s="994"/>
      <c r="N169" s="994"/>
      <c r="O169" s="994"/>
      <c r="P169" s="994"/>
      <c r="Q169" s="994"/>
    </row>
    <row r="170" spans="1:17" x14ac:dyDescent="0.2">
      <c r="A170" s="993" t="str">
        <f>TYDESC</f>
        <v>For the 12 Months Ended December 31, 2017</v>
      </c>
      <c r="B170" s="993"/>
      <c r="C170" s="993"/>
      <c r="D170" s="993"/>
      <c r="E170" s="993"/>
      <c r="F170" s="993"/>
      <c r="G170" s="993"/>
      <c r="H170" s="993"/>
      <c r="I170" s="993"/>
      <c r="J170" s="993"/>
      <c r="K170" s="993"/>
      <c r="L170" s="993"/>
      <c r="M170" s="993"/>
      <c r="N170" s="993"/>
      <c r="O170" s="993"/>
      <c r="P170" s="993"/>
      <c r="Q170" s="993"/>
    </row>
    <row r="171" spans="1:17" x14ac:dyDescent="0.2">
      <c r="A171" s="991" t="s">
        <v>39</v>
      </c>
      <c r="B171" s="991"/>
      <c r="C171" s="991"/>
      <c r="D171" s="991"/>
      <c r="E171" s="991"/>
      <c r="F171" s="991"/>
      <c r="G171" s="991"/>
      <c r="H171" s="991"/>
      <c r="I171" s="991"/>
      <c r="J171" s="991"/>
      <c r="K171" s="991"/>
      <c r="L171" s="991"/>
      <c r="M171" s="991"/>
      <c r="N171" s="991"/>
      <c r="O171" s="991"/>
      <c r="P171" s="991"/>
      <c r="Q171" s="991"/>
    </row>
    <row r="172" spans="1:17" x14ac:dyDescent="0.2">
      <c r="A172" s="262" t="str">
        <f>$A$52</f>
        <v>Data: __ Base Period _X_ Forecasted Period</v>
      </c>
    </row>
    <row r="173" spans="1:17" x14ac:dyDescent="0.2">
      <c r="A173" s="262" t="str">
        <f>$A$53</f>
        <v>Type of Filing: X Original _ Update _ Revised</v>
      </c>
      <c r="Q173" s="413" t="str">
        <f>$Q$53</f>
        <v>Schedule M-2.2</v>
      </c>
    </row>
    <row r="174" spans="1:17" x14ac:dyDescent="0.2">
      <c r="A174" s="262" t="str">
        <f>$A$54</f>
        <v>Work Paper Reference No(s):</v>
      </c>
      <c r="Q174" s="413" t="s">
        <v>516</v>
      </c>
    </row>
    <row r="175" spans="1:17" x14ac:dyDescent="0.2">
      <c r="A175" s="414" t="str">
        <f>$A$55</f>
        <v>12 Months Forecasted</v>
      </c>
      <c r="Q175" s="413" t="str">
        <f>Witness</f>
        <v>Witness:  M. J. Bell</v>
      </c>
    </row>
    <row r="176" spans="1:17" x14ac:dyDescent="0.2">
      <c r="A176" s="992" t="s">
        <v>194</v>
      </c>
      <c r="B176" s="992"/>
      <c r="C176" s="992"/>
      <c r="D176" s="992"/>
      <c r="E176" s="992"/>
      <c r="F176" s="992"/>
      <c r="G176" s="992"/>
      <c r="H176" s="992"/>
      <c r="I176" s="992"/>
      <c r="J176" s="992"/>
      <c r="K176" s="992"/>
      <c r="L176" s="992"/>
      <c r="M176" s="992"/>
      <c r="N176" s="992"/>
      <c r="O176" s="992"/>
      <c r="P176" s="992"/>
      <c r="Q176" s="992"/>
    </row>
    <row r="177" spans="1:17" x14ac:dyDescent="0.2">
      <c r="A177" s="793"/>
      <c r="B177" s="790"/>
      <c r="C177" s="790"/>
      <c r="D177" s="790"/>
      <c r="E177" s="790"/>
      <c r="F177" s="790"/>
      <c r="G177" s="790"/>
      <c r="H177" s="790"/>
      <c r="I177" s="790"/>
      <c r="J177" s="790"/>
      <c r="K177" s="790"/>
      <c r="L177" s="790"/>
      <c r="M177" s="790"/>
      <c r="N177" s="790"/>
      <c r="O177" s="790"/>
      <c r="P177" s="790"/>
      <c r="Q177" s="790"/>
    </row>
    <row r="178" spans="1:17" x14ac:dyDescent="0.2">
      <c r="A178" s="787"/>
      <c r="B178" s="789"/>
      <c r="C178" s="789"/>
      <c r="D178" s="792"/>
      <c r="E178" s="417"/>
      <c r="F178" s="418"/>
      <c r="G178" s="417"/>
      <c r="H178" s="791"/>
      <c r="I178" s="417"/>
      <c r="J178" s="417"/>
      <c r="K178" s="417"/>
      <c r="L178" s="417"/>
      <c r="M178" s="417"/>
      <c r="N178" s="417"/>
      <c r="O178" s="789"/>
      <c r="P178" s="789"/>
      <c r="Q178" s="789"/>
    </row>
    <row r="179" spans="1:17" x14ac:dyDescent="0.2">
      <c r="A179" s="787" t="s">
        <v>1</v>
      </c>
      <c r="B179" s="789" t="s">
        <v>0</v>
      </c>
      <c r="C179" s="789" t="s">
        <v>41</v>
      </c>
      <c r="D179" s="792" t="s">
        <v>47</v>
      </c>
      <c r="E179" s="417"/>
      <c r="F179" s="418"/>
      <c r="G179" s="417"/>
      <c r="H179" s="791"/>
      <c r="I179" s="417"/>
      <c r="J179" s="417"/>
      <c r="K179" s="417"/>
      <c r="L179" s="417"/>
      <c r="M179" s="417"/>
      <c r="N179" s="417"/>
      <c r="O179" s="790"/>
      <c r="P179" s="790"/>
      <c r="Q179" s="790"/>
    </row>
    <row r="180" spans="1:17" x14ac:dyDescent="0.2">
      <c r="A180" s="281" t="s">
        <v>3</v>
      </c>
      <c r="B180" s="226" t="s">
        <v>40</v>
      </c>
      <c r="C180" s="226" t="s">
        <v>4</v>
      </c>
      <c r="D180" s="420" t="s">
        <v>48</v>
      </c>
      <c r="E180" s="421" t="str">
        <f>B!$D$11</f>
        <v>Jan-17</v>
      </c>
      <c r="F180" s="421" t="str">
        <f>B!$E$11</f>
        <v>Feb-17</v>
      </c>
      <c r="G180" s="421" t="str">
        <f>B!$F$11</f>
        <v>Mar-17</v>
      </c>
      <c r="H180" s="421" t="str">
        <f>B!$G$11</f>
        <v>Apr-17</v>
      </c>
      <c r="I180" s="421" t="str">
        <f>B!$H$11</f>
        <v>May-17</v>
      </c>
      <c r="J180" s="421" t="str">
        <f>B!$I$11</f>
        <v>Jun-17</v>
      </c>
      <c r="K180" s="421" t="str">
        <f>B!$J$11</f>
        <v>Jul-17</v>
      </c>
      <c r="L180" s="421" t="str">
        <f>B!$K$11</f>
        <v>Aug-17</v>
      </c>
      <c r="M180" s="421" t="str">
        <f>B!$L$11</f>
        <v>Sep-17</v>
      </c>
      <c r="N180" s="421" t="str">
        <f>B!$M$11</f>
        <v>Oct-17</v>
      </c>
      <c r="O180" s="421" t="str">
        <f>B!$N$11</f>
        <v>Nov-17</v>
      </c>
      <c r="P180" s="421" t="str">
        <f>B!$O$11</f>
        <v>Dec-17</v>
      </c>
      <c r="Q180" s="422" t="s">
        <v>9</v>
      </c>
    </row>
    <row r="181" spans="1:17" x14ac:dyDescent="0.2">
      <c r="A181" s="787"/>
      <c r="B181" s="790" t="s">
        <v>42</v>
      </c>
      <c r="C181" s="790" t="s">
        <v>43</v>
      </c>
      <c r="D181" s="423" t="s">
        <v>45</v>
      </c>
      <c r="E181" s="424" t="s">
        <v>46</v>
      </c>
      <c r="F181" s="424" t="s">
        <v>49</v>
      </c>
      <c r="G181" s="424" t="s">
        <v>50</v>
      </c>
      <c r="H181" s="424" t="s">
        <v>51</v>
      </c>
      <c r="I181" s="424" t="s">
        <v>52</v>
      </c>
      <c r="J181" s="424" t="s">
        <v>53</v>
      </c>
      <c r="K181" s="425" t="s">
        <v>54</v>
      </c>
      <c r="L181" s="425" t="s">
        <v>55</v>
      </c>
      <c r="M181" s="425" t="s">
        <v>56</v>
      </c>
      <c r="N181" s="425" t="s">
        <v>57</v>
      </c>
      <c r="O181" s="425" t="s">
        <v>58</v>
      </c>
      <c r="P181" s="425" t="s">
        <v>59</v>
      </c>
      <c r="Q181" s="425" t="s">
        <v>203</v>
      </c>
    </row>
    <row r="182" spans="1:17" x14ac:dyDescent="0.2">
      <c r="G182" s="290"/>
      <c r="Q182" s="290"/>
    </row>
    <row r="183" spans="1:17" x14ac:dyDescent="0.2">
      <c r="A183" s="222">
        <v>1</v>
      </c>
      <c r="C183" s="438" t="s">
        <v>94</v>
      </c>
      <c r="G183" s="290"/>
      <c r="Q183" s="290"/>
    </row>
    <row r="184" spans="1:17" x14ac:dyDescent="0.2">
      <c r="G184" s="290"/>
      <c r="Q184" s="290"/>
    </row>
    <row r="185" spans="1:17" x14ac:dyDescent="0.2">
      <c r="A185" s="222">
        <f>A183+1</f>
        <v>2</v>
      </c>
      <c r="B185" s="219" t="str">
        <f>Input!A31</f>
        <v>GSO</v>
      </c>
      <c r="C185" s="219" t="str">
        <f>'Sch M 2.1'!B30</f>
        <v>General Service - Industrial</v>
      </c>
      <c r="G185" s="290"/>
      <c r="Q185" s="290"/>
    </row>
    <row r="186" spans="1:17" x14ac:dyDescent="0.2">
      <c r="A186" s="222">
        <f>A185+1</f>
        <v>3</v>
      </c>
      <c r="C186" s="444" t="s">
        <v>219</v>
      </c>
      <c r="E186" s="240">
        <f t="shared" ref="E186:P186" si="72">E701</f>
        <v>43</v>
      </c>
      <c r="F186" s="240">
        <f t="shared" si="72"/>
        <v>43</v>
      </c>
      <c r="G186" s="240">
        <f t="shared" si="72"/>
        <v>43</v>
      </c>
      <c r="H186" s="240">
        <f t="shared" si="72"/>
        <v>43</v>
      </c>
      <c r="I186" s="240">
        <f t="shared" si="72"/>
        <v>43</v>
      </c>
      <c r="J186" s="240">
        <f t="shared" si="72"/>
        <v>44</v>
      </c>
      <c r="K186" s="240">
        <f t="shared" si="72"/>
        <v>44</v>
      </c>
      <c r="L186" s="240">
        <f t="shared" si="72"/>
        <v>45</v>
      </c>
      <c r="M186" s="240">
        <f t="shared" si="72"/>
        <v>44</v>
      </c>
      <c r="N186" s="240">
        <f t="shared" si="72"/>
        <v>44</v>
      </c>
      <c r="O186" s="240">
        <f t="shared" si="72"/>
        <v>44</v>
      </c>
      <c r="P186" s="240">
        <f t="shared" si="72"/>
        <v>44</v>
      </c>
      <c r="Q186" s="240">
        <f>SUM(E186:P186)</f>
        <v>524</v>
      </c>
    </row>
    <row r="187" spans="1:17" x14ac:dyDescent="0.2">
      <c r="A187" s="222">
        <f>A186+1</f>
        <v>4</v>
      </c>
      <c r="C187" s="444" t="s">
        <v>567</v>
      </c>
      <c r="E187" s="245">
        <f t="shared" ref="E187:P187" si="73">E710</f>
        <v>33000.199999999997</v>
      </c>
      <c r="F187" s="245">
        <f t="shared" si="73"/>
        <v>31999.9</v>
      </c>
      <c r="G187" s="245">
        <f t="shared" si="73"/>
        <v>30900</v>
      </c>
      <c r="H187" s="245">
        <f t="shared" si="73"/>
        <v>29799.9</v>
      </c>
      <c r="I187" s="245">
        <f t="shared" si="73"/>
        <v>28800.3</v>
      </c>
      <c r="J187" s="245">
        <f t="shared" si="73"/>
        <v>27749.9</v>
      </c>
      <c r="K187" s="245">
        <f t="shared" si="73"/>
        <v>27749.9</v>
      </c>
      <c r="L187" s="245">
        <f t="shared" si="73"/>
        <v>28750.199999999997</v>
      </c>
      <c r="M187" s="245">
        <f t="shared" si="73"/>
        <v>28750.199999999997</v>
      </c>
      <c r="N187" s="245">
        <f t="shared" si="73"/>
        <v>30849.9</v>
      </c>
      <c r="O187" s="245">
        <f t="shared" si="73"/>
        <v>30900</v>
      </c>
      <c r="P187" s="245">
        <f t="shared" si="73"/>
        <v>31000.1</v>
      </c>
      <c r="Q187" s="245">
        <f>SUM(E187:P187)</f>
        <v>360250.5</v>
      </c>
    </row>
    <row r="188" spans="1:17" x14ac:dyDescent="0.2">
      <c r="A188" s="222">
        <f>A187+1</f>
        <v>5</v>
      </c>
      <c r="C188" s="444" t="s">
        <v>221</v>
      </c>
      <c r="E188" s="427">
        <f>E718+E725</f>
        <v>56249.25</v>
      </c>
      <c r="F188" s="427">
        <f t="shared" ref="F188:P188" si="74">F718+F725</f>
        <v>54442.01</v>
      </c>
      <c r="G188" s="427">
        <f t="shared" si="74"/>
        <v>52827.490000000005</v>
      </c>
      <c r="H188" s="427">
        <f t="shared" si="74"/>
        <v>50921.73</v>
      </c>
      <c r="I188" s="427">
        <f t="shared" si="74"/>
        <v>48742.11</v>
      </c>
      <c r="J188" s="427">
        <f t="shared" si="74"/>
        <v>46838.76</v>
      </c>
      <c r="K188" s="427">
        <f t="shared" si="74"/>
        <v>46837.84</v>
      </c>
      <c r="L188" s="427">
        <f t="shared" si="74"/>
        <v>48652.52</v>
      </c>
      <c r="M188" s="427">
        <f t="shared" si="74"/>
        <v>48602.02</v>
      </c>
      <c r="N188" s="427">
        <f t="shared" si="74"/>
        <v>52087.289999999994</v>
      </c>
      <c r="O188" s="427">
        <f t="shared" si="74"/>
        <v>52445.67</v>
      </c>
      <c r="P188" s="427">
        <f t="shared" si="74"/>
        <v>52823.029999999992</v>
      </c>
      <c r="Q188" s="427">
        <f>SUM(E188:P188)</f>
        <v>611469.72000000009</v>
      </c>
    </row>
    <row r="189" spans="1:17" x14ac:dyDescent="0.2">
      <c r="A189" s="222">
        <f>A188+1</f>
        <v>6</v>
      </c>
      <c r="C189" s="444" t="s">
        <v>222</v>
      </c>
      <c r="E189" s="427">
        <f t="shared" ref="E189:P189" si="75">E720</f>
        <v>72900.740000000005</v>
      </c>
      <c r="F189" s="427">
        <f t="shared" si="75"/>
        <v>70690.98</v>
      </c>
      <c r="G189" s="427">
        <f t="shared" si="75"/>
        <v>68261.19</v>
      </c>
      <c r="H189" s="427">
        <f t="shared" si="75"/>
        <v>65830.960000000006</v>
      </c>
      <c r="I189" s="427">
        <f t="shared" si="75"/>
        <v>63622.74</v>
      </c>
      <c r="J189" s="427">
        <f t="shared" si="75"/>
        <v>61302.3</v>
      </c>
      <c r="K189" s="427">
        <f t="shared" si="75"/>
        <v>61302.3</v>
      </c>
      <c r="L189" s="427">
        <f t="shared" si="75"/>
        <v>63512.07</v>
      </c>
      <c r="M189" s="427">
        <f t="shared" si="75"/>
        <v>63512.07</v>
      </c>
      <c r="N189" s="427">
        <f t="shared" si="75"/>
        <v>68150.509999999995</v>
      </c>
      <c r="O189" s="427">
        <f t="shared" si="75"/>
        <v>68261.19</v>
      </c>
      <c r="P189" s="427">
        <f t="shared" si="75"/>
        <v>68482.320000000007</v>
      </c>
      <c r="Q189" s="427">
        <f>SUM(E189:P189)</f>
        <v>795829.36999999988</v>
      </c>
    </row>
    <row r="190" spans="1:17" x14ac:dyDescent="0.2">
      <c r="A190" s="446">
        <f>A189+1</f>
        <v>7</v>
      </c>
      <c r="B190" s="447"/>
      <c r="C190" s="448" t="s">
        <v>568</v>
      </c>
      <c r="D190" s="449"/>
      <c r="E190" s="450">
        <f t="shared" ref="E190:P190" si="76">E727</f>
        <v>129149.99</v>
      </c>
      <c r="F190" s="450">
        <f t="shared" si="76"/>
        <v>125132.98999999999</v>
      </c>
      <c r="G190" s="450">
        <f t="shared" si="76"/>
        <v>121088.68</v>
      </c>
      <c r="H190" s="450">
        <f t="shared" si="76"/>
        <v>116752.69000000002</v>
      </c>
      <c r="I190" s="450">
        <f t="shared" si="76"/>
        <v>112364.84999999999</v>
      </c>
      <c r="J190" s="450">
        <f t="shared" si="76"/>
        <v>108141.06</v>
      </c>
      <c r="K190" s="450">
        <f t="shared" si="76"/>
        <v>108140.14</v>
      </c>
      <c r="L190" s="450">
        <f t="shared" si="76"/>
        <v>112164.59</v>
      </c>
      <c r="M190" s="450">
        <f t="shared" si="76"/>
        <v>112114.09</v>
      </c>
      <c r="N190" s="450">
        <f t="shared" si="76"/>
        <v>120237.79999999999</v>
      </c>
      <c r="O190" s="450">
        <f t="shared" si="76"/>
        <v>120706.85999999999</v>
      </c>
      <c r="P190" s="450">
        <f t="shared" si="76"/>
        <v>121305.35</v>
      </c>
      <c r="Q190" s="450">
        <f>SUM(E190:P190)</f>
        <v>1407299.0899999999</v>
      </c>
    </row>
    <row r="191" spans="1:17" x14ac:dyDescent="0.2">
      <c r="A191" s="302"/>
      <c r="B191" s="301"/>
      <c r="C191" s="455"/>
      <c r="D191" s="300"/>
      <c r="E191" s="415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</row>
    <row r="192" spans="1:17" x14ac:dyDescent="0.2">
      <c r="A192" s="222">
        <f>A190+1</f>
        <v>8</v>
      </c>
      <c r="B192" s="219" t="str">
        <f>Input!A36</f>
        <v xml:space="preserve">IS </v>
      </c>
      <c r="C192" s="219" t="str">
        <f>'Sch M 2.1'!B31</f>
        <v>Interruptible Service - Industrial</v>
      </c>
      <c r="G192" s="290"/>
      <c r="Q192" s="290"/>
    </row>
    <row r="193" spans="1:17" x14ac:dyDescent="0.2">
      <c r="A193" s="222">
        <f>A192+1</f>
        <v>9</v>
      </c>
      <c r="C193" s="444" t="s">
        <v>219</v>
      </c>
      <c r="E193" s="240">
        <f t="shared" ref="E193:P193" si="77">E752</f>
        <v>0</v>
      </c>
      <c r="F193" s="240">
        <f t="shared" si="77"/>
        <v>0</v>
      </c>
      <c r="G193" s="240">
        <f t="shared" si="77"/>
        <v>0</v>
      </c>
      <c r="H193" s="240">
        <f t="shared" si="77"/>
        <v>0</v>
      </c>
      <c r="I193" s="240">
        <f t="shared" si="77"/>
        <v>0</v>
      </c>
      <c r="J193" s="240">
        <f t="shared" si="77"/>
        <v>0</v>
      </c>
      <c r="K193" s="240">
        <f t="shared" si="77"/>
        <v>0</v>
      </c>
      <c r="L193" s="240">
        <f t="shared" si="77"/>
        <v>0</v>
      </c>
      <c r="M193" s="240">
        <f t="shared" si="77"/>
        <v>0</v>
      </c>
      <c r="N193" s="240">
        <f t="shared" si="77"/>
        <v>0</v>
      </c>
      <c r="O193" s="240">
        <f t="shared" si="77"/>
        <v>0</v>
      </c>
      <c r="P193" s="240">
        <f t="shared" si="77"/>
        <v>0</v>
      </c>
      <c r="Q193" s="240">
        <f>SUM(E193:P193)</f>
        <v>0</v>
      </c>
    </row>
    <row r="194" spans="1:17" x14ac:dyDescent="0.2">
      <c r="A194" s="222">
        <f>A193+1</f>
        <v>10</v>
      </c>
      <c r="C194" s="444" t="s">
        <v>567</v>
      </c>
      <c r="E194" s="245">
        <f t="shared" ref="E194:P194" si="78">E760</f>
        <v>0</v>
      </c>
      <c r="F194" s="245">
        <f t="shared" si="78"/>
        <v>0</v>
      </c>
      <c r="G194" s="245">
        <f t="shared" si="78"/>
        <v>0</v>
      </c>
      <c r="H194" s="245">
        <f t="shared" si="78"/>
        <v>0</v>
      </c>
      <c r="I194" s="245">
        <f t="shared" si="78"/>
        <v>0</v>
      </c>
      <c r="J194" s="245">
        <f t="shared" si="78"/>
        <v>0</v>
      </c>
      <c r="K194" s="245">
        <f t="shared" si="78"/>
        <v>0</v>
      </c>
      <c r="L194" s="245">
        <f t="shared" si="78"/>
        <v>0</v>
      </c>
      <c r="M194" s="245">
        <f t="shared" si="78"/>
        <v>0</v>
      </c>
      <c r="N194" s="245">
        <f t="shared" si="78"/>
        <v>0</v>
      </c>
      <c r="O194" s="245">
        <f t="shared" si="78"/>
        <v>0</v>
      </c>
      <c r="P194" s="245">
        <f t="shared" si="78"/>
        <v>0</v>
      </c>
      <c r="Q194" s="245">
        <f>SUM(E194:P194)</f>
        <v>0</v>
      </c>
    </row>
    <row r="195" spans="1:17" x14ac:dyDescent="0.2">
      <c r="A195" s="222">
        <f>A194+1</f>
        <v>11</v>
      </c>
      <c r="C195" s="444" t="s">
        <v>221</v>
      </c>
      <c r="E195" s="427">
        <f>E767+E774</f>
        <v>0</v>
      </c>
      <c r="F195" s="427">
        <f t="shared" ref="F195:P195" si="79">F767+F774</f>
        <v>0</v>
      </c>
      <c r="G195" s="427">
        <f t="shared" si="79"/>
        <v>0</v>
      </c>
      <c r="H195" s="427">
        <f t="shared" si="79"/>
        <v>0</v>
      </c>
      <c r="I195" s="427">
        <f t="shared" si="79"/>
        <v>0</v>
      </c>
      <c r="J195" s="427">
        <f t="shared" si="79"/>
        <v>0</v>
      </c>
      <c r="K195" s="427">
        <f t="shared" si="79"/>
        <v>0</v>
      </c>
      <c r="L195" s="427">
        <f t="shared" si="79"/>
        <v>0</v>
      </c>
      <c r="M195" s="427">
        <f t="shared" si="79"/>
        <v>0</v>
      </c>
      <c r="N195" s="427">
        <f t="shared" si="79"/>
        <v>0</v>
      </c>
      <c r="O195" s="427">
        <f t="shared" si="79"/>
        <v>0</v>
      </c>
      <c r="P195" s="427">
        <f t="shared" si="79"/>
        <v>0</v>
      </c>
      <c r="Q195" s="427">
        <f>SUM(E195:P195)</f>
        <v>0</v>
      </c>
    </row>
    <row r="196" spans="1:17" x14ac:dyDescent="0.2">
      <c r="A196" s="222">
        <f>A195+1</f>
        <v>12</v>
      </c>
      <c r="C196" s="444" t="s">
        <v>222</v>
      </c>
      <c r="E196" s="427">
        <f t="shared" ref="E196:P196" si="80">E769</f>
        <v>0</v>
      </c>
      <c r="F196" s="427">
        <f t="shared" si="80"/>
        <v>0</v>
      </c>
      <c r="G196" s="427">
        <f t="shared" si="80"/>
        <v>0</v>
      </c>
      <c r="H196" s="427">
        <f t="shared" si="80"/>
        <v>0</v>
      </c>
      <c r="I196" s="427">
        <f t="shared" si="80"/>
        <v>0</v>
      </c>
      <c r="J196" s="427">
        <f t="shared" si="80"/>
        <v>0</v>
      </c>
      <c r="K196" s="427">
        <f t="shared" si="80"/>
        <v>0</v>
      </c>
      <c r="L196" s="427">
        <f t="shared" si="80"/>
        <v>0</v>
      </c>
      <c r="M196" s="427">
        <f t="shared" si="80"/>
        <v>0</v>
      </c>
      <c r="N196" s="427">
        <f t="shared" si="80"/>
        <v>0</v>
      </c>
      <c r="O196" s="427">
        <f t="shared" si="80"/>
        <v>0</v>
      </c>
      <c r="P196" s="427">
        <f t="shared" si="80"/>
        <v>0</v>
      </c>
      <c r="Q196" s="427">
        <f>SUM(E196:P196)</f>
        <v>0</v>
      </c>
    </row>
    <row r="197" spans="1:17" x14ac:dyDescent="0.2">
      <c r="A197" s="446">
        <f>A196+1</f>
        <v>13</v>
      </c>
      <c r="B197" s="447"/>
      <c r="C197" s="448" t="s">
        <v>568</v>
      </c>
      <c r="D197" s="449"/>
      <c r="E197" s="450">
        <f t="shared" ref="E197:P197" si="81">E776</f>
        <v>0</v>
      </c>
      <c r="F197" s="450">
        <f t="shared" si="81"/>
        <v>0</v>
      </c>
      <c r="G197" s="450">
        <f t="shared" si="81"/>
        <v>0</v>
      </c>
      <c r="H197" s="450">
        <f t="shared" si="81"/>
        <v>0</v>
      </c>
      <c r="I197" s="450">
        <f t="shared" si="81"/>
        <v>0</v>
      </c>
      <c r="J197" s="450">
        <f t="shared" si="81"/>
        <v>0</v>
      </c>
      <c r="K197" s="450">
        <f t="shared" si="81"/>
        <v>0</v>
      </c>
      <c r="L197" s="450">
        <f t="shared" si="81"/>
        <v>0</v>
      </c>
      <c r="M197" s="450">
        <f t="shared" si="81"/>
        <v>0</v>
      </c>
      <c r="N197" s="450">
        <f t="shared" si="81"/>
        <v>0</v>
      </c>
      <c r="O197" s="450">
        <f t="shared" si="81"/>
        <v>0</v>
      </c>
      <c r="P197" s="450">
        <f t="shared" si="81"/>
        <v>0</v>
      </c>
      <c r="Q197" s="450">
        <f>SUM(E197:P197)</f>
        <v>0</v>
      </c>
    </row>
    <row r="198" spans="1:17" x14ac:dyDescent="0.2">
      <c r="E198" s="459"/>
      <c r="F198" s="459"/>
      <c r="G198" s="459"/>
      <c r="H198" s="459"/>
      <c r="I198" s="459"/>
      <c r="J198" s="459"/>
      <c r="K198" s="459"/>
      <c r="L198" s="459"/>
      <c r="M198" s="459"/>
      <c r="N198" s="459"/>
      <c r="O198" s="459"/>
      <c r="P198" s="459"/>
      <c r="Q198" s="459"/>
    </row>
    <row r="199" spans="1:17" x14ac:dyDescent="0.2">
      <c r="A199" s="222">
        <f>A197+1</f>
        <v>14</v>
      </c>
      <c r="B199" s="219" t="str">
        <f>Input!A37</f>
        <v>IUS</v>
      </c>
      <c r="C199" s="219" t="str">
        <f>'Sch M 2.1'!B32</f>
        <v>Intrastate Utility Service - Wholesale</v>
      </c>
      <c r="G199" s="290"/>
      <c r="Q199" s="290"/>
    </row>
    <row r="200" spans="1:17" x14ac:dyDescent="0.2">
      <c r="A200" s="222">
        <f>A199+1</f>
        <v>15</v>
      </c>
      <c r="C200" s="444" t="s">
        <v>219</v>
      </c>
      <c r="E200" s="240">
        <f t="shared" ref="E200:P200" si="82">E783</f>
        <v>2</v>
      </c>
      <c r="F200" s="240">
        <f t="shared" si="82"/>
        <v>2</v>
      </c>
      <c r="G200" s="240">
        <f t="shared" si="82"/>
        <v>2</v>
      </c>
      <c r="H200" s="240">
        <f t="shared" si="82"/>
        <v>2</v>
      </c>
      <c r="I200" s="240">
        <f t="shared" si="82"/>
        <v>2</v>
      </c>
      <c r="J200" s="240">
        <f t="shared" si="82"/>
        <v>2</v>
      </c>
      <c r="K200" s="240">
        <f t="shared" si="82"/>
        <v>2</v>
      </c>
      <c r="L200" s="240">
        <f t="shared" si="82"/>
        <v>2</v>
      </c>
      <c r="M200" s="240">
        <f t="shared" si="82"/>
        <v>2</v>
      </c>
      <c r="N200" s="240">
        <f t="shared" si="82"/>
        <v>2</v>
      </c>
      <c r="O200" s="240">
        <f t="shared" si="82"/>
        <v>2</v>
      </c>
      <c r="P200" s="240">
        <f t="shared" si="82"/>
        <v>2</v>
      </c>
      <c r="Q200" s="240">
        <f>SUM(E200:P200)</f>
        <v>24</v>
      </c>
    </row>
    <row r="201" spans="1:17" x14ac:dyDescent="0.2">
      <c r="A201" s="222">
        <f>A200+1</f>
        <v>16</v>
      </c>
      <c r="C201" s="444" t="s">
        <v>567</v>
      </c>
      <c r="E201" s="245">
        <f t="shared" ref="E201:P201" si="83">E787</f>
        <v>3136.7</v>
      </c>
      <c r="F201" s="245">
        <f t="shared" si="83"/>
        <v>2307.1999999999998</v>
      </c>
      <c r="G201" s="245">
        <f t="shared" si="83"/>
        <v>1098.5999999999999</v>
      </c>
      <c r="H201" s="245">
        <f t="shared" si="83"/>
        <v>641.70000000000005</v>
      </c>
      <c r="I201" s="245">
        <f t="shared" si="83"/>
        <v>362.9</v>
      </c>
      <c r="J201" s="245">
        <f t="shared" si="83"/>
        <v>221.4</v>
      </c>
      <c r="K201" s="245">
        <f t="shared" si="83"/>
        <v>245</v>
      </c>
      <c r="L201" s="245">
        <f t="shared" si="83"/>
        <v>196.3</v>
      </c>
      <c r="M201" s="245">
        <f t="shared" si="83"/>
        <v>196.6</v>
      </c>
      <c r="N201" s="245">
        <f t="shared" si="83"/>
        <v>705.2</v>
      </c>
      <c r="O201" s="245">
        <f t="shared" si="83"/>
        <v>1014.3</v>
      </c>
      <c r="P201" s="245">
        <f t="shared" si="83"/>
        <v>1194.8</v>
      </c>
      <c r="Q201" s="245">
        <f>SUM(E201:P201)</f>
        <v>11320.699999999999</v>
      </c>
    </row>
    <row r="202" spans="1:17" x14ac:dyDescent="0.2">
      <c r="A202" s="222">
        <f>A201+1</f>
        <v>17</v>
      </c>
      <c r="C202" s="444" t="s">
        <v>221</v>
      </c>
      <c r="E202" s="427">
        <f>E790+E797</f>
        <v>3714.52</v>
      </c>
      <c r="F202" s="427">
        <f t="shared" ref="F202:P202" si="84">F790+F797</f>
        <v>3025.21</v>
      </c>
      <c r="G202" s="427">
        <f t="shared" si="84"/>
        <v>2020.8600000000001</v>
      </c>
      <c r="H202" s="427">
        <f t="shared" si="84"/>
        <v>1641.18</v>
      </c>
      <c r="I202" s="427">
        <f t="shared" si="84"/>
        <v>1409.49</v>
      </c>
      <c r="J202" s="427">
        <f t="shared" si="84"/>
        <v>1291.9000000000001</v>
      </c>
      <c r="K202" s="427">
        <f t="shared" si="84"/>
        <v>1311.5200000000002</v>
      </c>
      <c r="L202" s="427">
        <f t="shared" si="84"/>
        <v>1271.0400000000002</v>
      </c>
      <c r="M202" s="427">
        <f t="shared" si="84"/>
        <v>1271.3000000000002</v>
      </c>
      <c r="N202" s="427">
        <f t="shared" si="84"/>
        <v>1693.94</v>
      </c>
      <c r="O202" s="427">
        <f t="shared" si="84"/>
        <v>1950.8000000000002</v>
      </c>
      <c r="P202" s="427">
        <f t="shared" si="84"/>
        <v>2100.8000000000002</v>
      </c>
      <c r="Q202" s="427">
        <f>SUM(E202:P202)</f>
        <v>22702.559999999998</v>
      </c>
    </row>
    <row r="203" spans="1:17" x14ac:dyDescent="0.2">
      <c r="A203" s="222">
        <f>A202+1</f>
        <v>18</v>
      </c>
      <c r="C203" s="444" t="s">
        <v>222</v>
      </c>
      <c r="E203" s="427">
        <f t="shared" ref="E203:P203" si="85">E792</f>
        <v>6929.28</v>
      </c>
      <c r="F203" s="427">
        <f t="shared" si="85"/>
        <v>5096.84</v>
      </c>
      <c r="G203" s="427">
        <f t="shared" si="85"/>
        <v>2426.92</v>
      </c>
      <c r="H203" s="427">
        <f t="shared" si="85"/>
        <v>1417.58</v>
      </c>
      <c r="I203" s="427">
        <f t="shared" si="85"/>
        <v>801.68</v>
      </c>
      <c r="J203" s="427">
        <f t="shared" si="85"/>
        <v>489.09</v>
      </c>
      <c r="K203" s="427">
        <f t="shared" si="85"/>
        <v>541.23</v>
      </c>
      <c r="L203" s="427">
        <f t="shared" si="85"/>
        <v>433.65</v>
      </c>
      <c r="M203" s="427">
        <f t="shared" si="85"/>
        <v>434.31</v>
      </c>
      <c r="N203" s="427">
        <f t="shared" si="85"/>
        <v>1557.86</v>
      </c>
      <c r="O203" s="427">
        <f t="shared" si="85"/>
        <v>2240.69</v>
      </c>
      <c r="P203" s="427">
        <f t="shared" si="85"/>
        <v>2639.43</v>
      </c>
      <c r="Q203" s="427">
        <f>SUM(E203:P203)</f>
        <v>25008.560000000001</v>
      </c>
    </row>
    <row r="204" spans="1:17" x14ac:dyDescent="0.2">
      <c r="A204" s="446">
        <f>A203+1</f>
        <v>19</v>
      </c>
      <c r="B204" s="447"/>
      <c r="C204" s="448" t="s">
        <v>568</v>
      </c>
      <c r="D204" s="449"/>
      <c r="E204" s="450">
        <f t="shared" ref="E204:P204" si="86">E799</f>
        <v>10643.800000000001</v>
      </c>
      <c r="F204" s="450">
        <f t="shared" si="86"/>
        <v>8122.05</v>
      </c>
      <c r="G204" s="450">
        <f t="shared" si="86"/>
        <v>4447.7800000000007</v>
      </c>
      <c r="H204" s="450">
        <f t="shared" si="86"/>
        <v>3058.7599999999998</v>
      </c>
      <c r="I204" s="450">
        <f t="shared" si="86"/>
        <v>2211.17</v>
      </c>
      <c r="J204" s="450">
        <f t="shared" si="86"/>
        <v>1780.99</v>
      </c>
      <c r="K204" s="450">
        <f t="shared" si="86"/>
        <v>1852.7500000000002</v>
      </c>
      <c r="L204" s="450">
        <f t="shared" si="86"/>
        <v>1704.6900000000003</v>
      </c>
      <c r="M204" s="450">
        <f t="shared" si="86"/>
        <v>1705.6100000000001</v>
      </c>
      <c r="N204" s="450">
        <f t="shared" si="86"/>
        <v>3251.8</v>
      </c>
      <c r="O204" s="450">
        <f t="shared" si="86"/>
        <v>4191.49</v>
      </c>
      <c r="P204" s="450">
        <f t="shared" si="86"/>
        <v>4740.2300000000005</v>
      </c>
      <c r="Q204" s="450">
        <f>SUM(E204:P204)</f>
        <v>47711.12000000001</v>
      </c>
    </row>
    <row r="205" spans="1:17" x14ac:dyDescent="0.2">
      <c r="A205" s="302"/>
      <c r="B205" s="301"/>
      <c r="C205" s="455"/>
      <c r="D205" s="300"/>
      <c r="E205" s="415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</row>
    <row r="206" spans="1:17" x14ac:dyDescent="0.2">
      <c r="G206" s="290"/>
      <c r="Q206" s="290"/>
    </row>
    <row r="207" spans="1:17" x14ac:dyDescent="0.2">
      <c r="A207" s="222" t="str">
        <f>$A$108</f>
        <v>[1] Reflects Normalized Volumes.</v>
      </c>
      <c r="G207" s="290"/>
      <c r="Q207" s="290"/>
    </row>
    <row r="208" spans="1:17" x14ac:dyDescent="0.2">
      <c r="A208" s="460" t="str">
        <f>$A$109</f>
        <v>[2] See Schedule M-2.2 Pages 8 through 21 for detail.</v>
      </c>
      <c r="G208" s="290"/>
      <c r="Q208" s="290"/>
    </row>
    <row r="209" spans="1:17" x14ac:dyDescent="0.2">
      <c r="A209" s="993" t="str">
        <f>CONAME</f>
        <v>Columbia Gas of Kentucky, Inc.</v>
      </c>
      <c r="B209" s="993"/>
      <c r="C209" s="993"/>
      <c r="D209" s="993"/>
      <c r="E209" s="993"/>
      <c r="F209" s="993"/>
      <c r="G209" s="993"/>
      <c r="H209" s="993"/>
      <c r="I209" s="993"/>
      <c r="J209" s="993"/>
      <c r="K209" s="993"/>
      <c r="L209" s="993"/>
      <c r="M209" s="993"/>
      <c r="N209" s="993"/>
      <c r="O209" s="993"/>
      <c r="P209" s="993"/>
      <c r="Q209" s="993"/>
    </row>
    <row r="210" spans="1:17" x14ac:dyDescent="0.2">
      <c r="A210" s="981" t="str">
        <f>case</f>
        <v>Case No. 2016-00162</v>
      </c>
      <c r="B210" s="981"/>
      <c r="C210" s="981"/>
      <c r="D210" s="981"/>
      <c r="E210" s="981"/>
      <c r="F210" s="981"/>
      <c r="G210" s="981"/>
      <c r="H210" s="981"/>
      <c r="I210" s="981"/>
      <c r="J210" s="981"/>
      <c r="K210" s="981"/>
      <c r="L210" s="981"/>
      <c r="M210" s="981"/>
      <c r="N210" s="981"/>
      <c r="O210" s="981"/>
      <c r="P210" s="981"/>
      <c r="Q210" s="981"/>
    </row>
    <row r="211" spans="1:17" x14ac:dyDescent="0.2">
      <c r="A211" s="994" t="s">
        <v>494</v>
      </c>
      <c r="B211" s="994"/>
      <c r="C211" s="994"/>
      <c r="D211" s="994"/>
      <c r="E211" s="994"/>
      <c r="F211" s="994"/>
      <c r="G211" s="994"/>
      <c r="H211" s="994"/>
      <c r="I211" s="994"/>
      <c r="J211" s="994"/>
      <c r="K211" s="994"/>
      <c r="L211" s="994"/>
      <c r="M211" s="994"/>
      <c r="N211" s="994"/>
      <c r="O211" s="994"/>
      <c r="P211" s="994"/>
      <c r="Q211" s="994"/>
    </row>
    <row r="212" spans="1:17" x14ac:dyDescent="0.2">
      <c r="A212" s="993" t="str">
        <f>TYDESC</f>
        <v>For the 12 Months Ended December 31, 2017</v>
      </c>
      <c r="B212" s="993"/>
      <c r="C212" s="993"/>
      <c r="D212" s="993"/>
      <c r="E212" s="993"/>
      <c r="F212" s="993"/>
      <c r="G212" s="993"/>
      <c r="H212" s="993"/>
      <c r="I212" s="993"/>
      <c r="J212" s="993"/>
      <c r="K212" s="993"/>
      <c r="L212" s="993"/>
      <c r="M212" s="993"/>
      <c r="N212" s="993"/>
      <c r="O212" s="993"/>
      <c r="P212" s="993"/>
      <c r="Q212" s="993"/>
    </row>
    <row r="213" spans="1:17" x14ac:dyDescent="0.2">
      <c r="A213" s="991" t="s">
        <v>39</v>
      </c>
      <c r="B213" s="991"/>
      <c r="C213" s="991"/>
      <c r="D213" s="991"/>
      <c r="E213" s="991"/>
      <c r="F213" s="991"/>
      <c r="G213" s="991"/>
      <c r="H213" s="991"/>
      <c r="I213" s="991"/>
      <c r="J213" s="991"/>
      <c r="K213" s="991"/>
      <c r="L213" s="991"/>
      <c r="M213" s="991"/>
      <c r="N213" s="991"/>
      <c r="O213" s="991"/>
      <c r="P213" s="991"/>
      <c r="Q213" s="991"/>
    </row>
    <row r="214" spans="1:17" x14ac:dyDescent="0.2">
      <c r="A214" s="262" t="str">
        <f>$A$52</f>
        <v>Data: __ Base Period _X_ Forecasted Period</v>
      </c>
    </row>
    <row r="215" spans="1:17" x14ac:dyDescent="0.2">
      <c r="A215" s="262" t="str">
        <f>$A$53</f>
        <v>Type of Filing: X Original _ Update _ Revised</v>
      </c>
      <c r="Q215" s="413" t="str">
        <f>$Q$53</f>
        <v>Schedule M-2.2</v>
      </c>
    </row>
    <row r="216" spans="1:17" x14ac:dyDescent="0.2">
      <c r="A216" s="262" t="str">
        <f>$A$54</f>
        <v>Work Paper Reference No(s):</v>
      </c>
      <c r="Q216" s="413" t="s">
        <v>499</v>
      </c>
    </row>
    <row r="217" spans="1:17" x14ac:dyDescent="0.2">
      <c r="A217" s="414" t="str">
        <f>$A$55</f>
        <v>12 Months Forecasted</v>
      </c>
      <c r="Q217" s="413" t="str">
        <f>Witness</f>
        <v>Witness:  M. J. Bell</v>
      </c>
    </row>
    <row r="218" spans="1:17" x14ac:dyDescent="0.2">
      <c r="A218" s="992" t="s">
        <v>194</v>
      </c>
      <c r="B218" s="992"/>
      <c r="C218" s="992"/>
      <c r="D218" s="992"/>
      <c r="E218" s="992"/>
      <c r="F218" s="992"/>
      <c r="G218" s="992"/>
      <c r="H218" s="992"/>
      <c r="I218" s="992"/>
      <c r="J218" s="992"/>
      <c r="K218" s="992"/>
      <c r="L218" s="992"/>
      <c r="M218" s="992"/>
      <c r="N218" s="992"/>
      <c r="O218" s="992"/>
      <c r="P218" s="992"/>
      <c r="Q218" s="992"/>
    </row>
    <row r="219" spans="1:17" x14ac:dyDescent="0.2">
      <c r="A219" s="230"/>
      <c r="B219" s="229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</row>
    <row r="220" spans="1:17" x14ac:dyDescent="0.2">
      <c r="A220" s="410"/>
      <c r="B220" s="224"/>
      <c r="C220" s="224"/>
      <c r="D220" s="416"/>
      <c r="E220" s="417"/>
      <c r="F220" s="418"/>
      <c r="G220" s="417"/>
      <c r="H220" s="419"/>
      <c r="I220" s="417"/>
      <c r="J220" s="417"/>
      <c r="K220" s="417"/>
      <c r="L220" s="417"/>
      <c r="M220" s="417"/>
      <c r="N220" s="417"/>
      <c r="O220" s="224"/>
      <c r="P220" s="224"/>
      <c r="Q220" s="224"/>
    </row>
    <row r="221" spans="1:17" x14ac:dyDescent="0.2">
      <c r="A221" s="410" t="s">
        <v>1</v>
      </c>
      <c r="B221" s="224" t="s">
        <v>0</v>
      </c>
      <c r="C221" s="224" t="s">
        <v>41</v>
      </c>
      <c r="D221" s="416" t="s">
        <v>47</v>
      </c>
      <c r="E221" s="417"/>
      <c r="F221" s="418"/>
      <c r="G221" s="417"/>
      <c r="H221" s="419"/>
      <c r="I221" s="417"/>
      <c r="J221" s="417"/>
      <c r="K221" s="417"/>
      <c r="L221" s="417"/>
      <c r="M221" s="417"/>
      <c r="N221" s="417"/>
      <c r="O221" s="229"/>
      <c r="P221" s="229"/>
      <c r="Q221" s="229"/>
    </row>
    <row r="222" spans="1:17" x14ac:dyDescent="0.2">
      <c r="A222" s="281" t="s">
        <v>3</v>
      </c>
      <c r="B222" s="226" t="s">
        <v>40</v>
      </c>
      <c r="C222" s="226" t="s">
        <v>4</v>
      </c>
      <c r="D222" s="420" t="s">
        <v>48</v>
      </c>
      <c r="E222" s="421" t="str">
        <f>B!$D$11</f>
        <v>Jan-17</v>
      </c>
      <c r="F222" s="421" t="str">
        <f>B!$E$11</f>
        <v>Feb-17</v>
      </c>
      <c r="G222" s="421" t="str">
        <f>B!$F$11</f>
        <v>Mar-17</v>
      </c>
      <c r="H222" s="421" t="str">
        <f>B!$G$11</f>
        <v>Apr-17</v>
      </c>
      <c r="I222" s="421" t="str">
        <f>B!$H$11</f>
        <v>May-17</v>
      </c>
      <c r="J222" s="421" t="str">
        <f>B!$I$11</f>
        <v>Jun-17</v>
      </c>
      <c r="K222" s="421" t="str">
        <f>B!$J$11</f>
        <v>Jul-17</v>
      </c>
      <c r="L222" s="421" t="str">
        <f>B!$K$11</f>
        <v>Aug-17</v>
      </c>
      <c r="M222" s="421" t="str">
        <f>B!$L$11</f>
        <v>Sep-17</v>
      </c>
      <c r="N222" s="421" t="str">
        <f>B!$M$11</f>
        <v>Oct-17</v>
      </c>
      <c r="O222" s="421" t="str">
        <f>B!$N$11</f>
        <v>Nov-17</v>
      </c>
      <c r="P222" s="421" t="str">
        <f>B!$O$11</f>
        <v>Dec-17</v>
      </c>
      <c r="Q222" s="422" t="s">
        <v>9</v>
      </c>
    </row>
    <row r="223" spans="1:17" x14ac:dyDescent="0.2">
      <c r="A223" s="410"/>
      <c r="B223" s="229" t="s">
        <v>42</v>
      </c>
      <c r="C223" s="229" t="s">
        <v>43</v>
      </c>
      <c r="D223" s="423" t="s">
        <v>45</v>
      </c>
      <c r="E223" s="424" t="s">
        <v>46</v>
      </c>
      <c r="F223" s="424" t="s">
        <v>49</v>
      </c>
      <c r="G223" s="424" t="s">
        <v>50</v>
      </c>
      <c r="H223" s="424" t="s">
        <v>51</v>
      </c>
      <c r="I223" s="424" t="s">
        <v>52</v>
      </c>
      <c r="J223" s="424" t="s">
        <v>53</v>
      </c>
      <c r="K223" s="425" t="s">
        <v>54</v>
      </c>
      <c r="L223" s="425" t="s">
        <v>55</v>
      </c>
      <c r="M223" s="425" t="s">
        <v>56</v>
      </c>
      <c r="N223" s="425" t="s">
        <v>57</v>
      </c>
      <c r="O223" s="425" t="s">
        <v>58</v>
      </c>
      <c r="P223" s="425" t="s">
        <v>59</v>
      </c>
      <c r="Q223" s="425" t="s">
        <v>203</v>
      </c>
    </row>
    <row r="224" spans="1:17" x14ac:dyDescent="0.2">
      <c r="A224" s="410"/>
      <c r="B224" s="229"/>
      <c r="C224" s="229"/>
      <c r="D224" s="423"/>
      <c r="E224" s="424"/>
      <c r="F224" s="424"/>
      <c r="G224" s="424"/>
      <c r="H224" s="424"/>
      <c r="I224" s="424"/>
      <c r="J224" s="425"/>
      <c r="K224" s="425"/>
      <c r="L224" s="425"/>
      <c r="M224" s="425"/>
      <c r="N224" s="425"/>
      <c r="O224" s="425"/>
      <c r="P224" s="425"/>
      <c r="Q224" s="425"/>
    </row>
    <row r="225" spans="1:17" x14ac:dyDescent="0.2">
      <c r="A225" s="222">
        <v>1</v>
      </c>
      <c r="C225" s="438" t="s">
        <v>95</v>
      </c>
    </row>
    <row r="227" spans="1:17" x14ac:dyDescent="0.2">
      <c r="A227" s="222">
        <f>A225+1</f>
        <v>2</v>
      </c>
      <c r="B227" s="219" t="str">
        <f>Input!A41</f>
        <v>GTR</v>
      </c>
      <c r="C227" s="219" t="str">
        <f>'Sch M 2.1'!B36</f>
        <v xml:space="preserve">GTS Choice - Residential </v>
      </c>
      <c r="G227" s="290"/>
      <c r="Q227" s="290"/>
    </row>
    <row r="228" spans="1:17" x14ac:dyDescent="0.2">
      <c r="A228" s="222">
        <f>A227+1</f>
        <v>3</v>
      </c>
      <c r="C228" s="444" t="s">
        <v>219</v>
      </c>
      <c r="E228" s="240">
        <f t="shared" ref="E228:P228" si="87">E823</f>
        <v>23720</v>
      </c>
      <c r="F228" s="240">
        <f t="shared" si="87"/>
        <v>23785</v>
      </c>
      <c r="G228" s="240">
        <f t="shared" si="87"/>
        <v>23786</v>
      </c>
      <c r="H228" s="240">
        <f t="shared" si="87"/>
        <v>23694</v>
      </c>
      <c r="I228" s="240">
        <f t="shared" si="87"/>
        <v>23612</v>
      </c>
      <c r="J228" s="240">
        <f t="shared" si="87"/>
        <v>23386</v>
      </c>
      <c r="K228" s="240">
        <f t="shared" si="87"/>
        <v>23238</v>
      </c>
      <c r="L228" s="240">
        <f t="shared" si="87"/>
        <v>23223</v>
      </c>
      <c r="M228" s="240">
        <f t="shared" si="87"/>
        <v>23179</v>
      </c>
      <c r="N228" s="240">
        <f t="shared" si="87"/>
        <v>23188</v>
      </c>
      <c r="O228" s="240">
        <f t="shared" si="87"/>
        <v>23458</v>
      </c>
      <c r="P228" s="240">
        <f t="shared" si="87"/>
        <v>23677</v>
      </c>
      <c r="Q228" s="240">
        <f>SUM(E228:P228)</f>
        <v>281946</v>
      </c>
    </row>
    <row r="229" spans="1:17" x14ac:dyDescent="0.2">
      <c r="A229" s="222">
        <f>A228+1</f>
        <v>4</v>
      </c>
      <c r="C229" s="444" t="s">
        <v>567</v>
      </c>
      <c r="E229" s="245">
        <f t="shared" ref="E229:P229" si="88">E827</f>
        <v>364000</v>
      </c>
      <c r="F229" s="245">
        <f t="shared" si="88"/>
        <v>353000</v>
      </c>
      <c r="G229" s="245">
        <f t="shared" si="88"/>
        <v>265000</v>
      </c>
      <c r="H229" s="245">
        <f t="shared" si="88"/>
        <v>151000</v>
      </c>
      <c r="I229" s="245">
        <f t="shared" si="88"/>
        <v>71000</v>
      </c>
      <c r="J229" s="245">
        <f t="shared" si="88"/>
        <v>34000</v>
      </c>
      <c r="K229" s="245">
        <f t="shared" si="88"/>
        <v>24000</v>
      </c>
      <c r="L229" s="245">
        <f t="shared" si="88"/>
        <v>23000</v>
      </c>
      <c r="M229" s="245">
        <f t="shared" si="88"/>
        <v>25000</v>
      </c>
      <c r="N229" s="245">
        <f t="shared" si="88"/>
        <v>39000</v>
      </c>
      <c r="O229" s="245">
        <f t="shared" si="88"/>
        <v>111000</v>
      </c>
      <c r="P229" s="245">
        <f t="shared" si="88"/>
        <v>247000</v>
      </c>
      <c r="Q229" s="245">
        <f>SUM(E229:P229)</f>
        <v>1707000</v>
      </c>
    </row>
    <row r="230" spans="1:17" x14ac:dyDescent="0.2">
      <c r="A230" s="222">
        <f>A229+1</f>
        <v>5</v>
      </c>
      <c r="C230" s="444" t="s">
        <v>221</v>
      </c>
      <c r="E230" s="427">
        <f>E830+E839</f>
        <v>1272310</v>
      </c>
      <c r="F230" s="427">
        <f t="shared" ref="F230:P230" si="89">F830+F839</f>
        <v>1247886.8</v>
      </c>
      <c r="G230" s="427">
        <f t="shared" si="89"/>
        <v>1043190.34</v>
      </c>
      <c r="H230" s="427">
        <f t="shared" si="89"/>
        <v>776341.66</v>
      </c>
      <c r="I230" s="427">
        <f t="shared" si="89"/>
        <v>588766.57999999996</v>
      </c>
      <c r="J230" s="427">
        <f t="shared" si="89"/>
        <v>498639.04000000004</v>
      </c>
      <c r="K230" s="427">
        <f t="shared" si="89"/>
        <v>472720.92000000004</v>
      </c>
      <c r="L230" s="427">
        <f t="shared" si="89"/>
        <v>470125.52</v>
      </c>
      <c r="M230" s="427">
        <f t="shared" si="89"/>
        <v>473988.76</v>
      </c>
      <c r="N230" s="427">
        <f t="shared" si="89"/>
        <v>506718.42000000004</v>
      </c>
      <c r="O230" s="427">
        <f t="shared" si="89"/>
        <v>679055.82</v>
      </c>
      <c r="P230" s="427">
        <f t="shared" si="89"/>
        <v>999361.48</v>
      </c>
      <c r="Q230" s="427">
        <f>SUM(E230:P230)</f>
        <v>9029105.3399999999</v>
      </c>
    </row>
    <row r="231" spans="1:17" x14ac:dyDescent="0.2">
      <c r="A231" s="222">
        <f>A230+1</f>
        <v>6</v>
      </c>
      <c r="C231" s="444" t="s">
        <v>222</v>
      </c>
      <c r="E231" s="427">
        <f t="shared" ref="E231:P231" si="90">E832</f>
        <v>0</v>
      </c>
      <c r="F231" s="427">
        <f t="shared" si="90"/>
        <v>0</v>
      </c>
      <c r="G231" s="427">
        <f t="shared" si="90"/>
        <v>0</v>
      </c>
      <c r="H231" s="427">
        <f t="shared" si="90"/>
        <v>0</v>
      </c>
      <c r="I231" s="427">
        <f t="shared" si="90"/>
        <v>0</v>
      </c>
      <c r="J231" s="427">
        <f t="shared" si="90"/>
        <v>0</v>
      </c>
      <c r="K231" s="427">
        <f t="shared" si="90"/>
        <v>0</v>
      </c>
      <c r="L231" s="427">
        <f t="shared" si="90"/>
        <v>0</v>
      </c>
      <c r="M231" s="427">
        <f t="shared" si="90"/>
        <v>0</v>
      </c>
      <c r="N231" s="427">
        <f t="shared" si="90"/>
        <v>0</v>
      </c>
      <c r="O231" s="427">
        <f t="shared" si="90"/>
        <v>0</v>
      </c>
      <c r="P231" s="427">
        <f t="shared" si="90"/>
        <v>0</v>
      </c>
      <c r="Q231" s="427">
        <f>SUM(E231:P231)</f>
        <v>0</v>
      </c>
    </row>
    <row r="232" spans="1:17" x14ac:dyDescent="0.2">
      <c r="A232" s="446">
        <f>A231+1</f>
        <v>7</v>
      </c>
      <c r="B232" s="447"/>
      <c r="C232" s="448" t="s">
        <v>568</v>
      </c>
      <c r="D232" s="449"/>
      <c r="E232" s="450">
        <f t="shared" ref="E232:P232" si="91">E841</f>
        <v>1272310</v>
      </c>
      <c r="F232" s="450">
        <f t="shared" si="91"/>
        <v>1247886.8</v>
      </c>
      <c r="G232" s="450">
        <f t="shared" si="91"/>
        <v>1043190.34</v>
      </c>
      <c r="H232" s="450">
        <f t="shared" si="91"/>
        <v>776341.66</v>
      </c>
      <c r="I232" s="450">
        <f t="shared" si="91"/>
        <v>588766.57999999996</v>
      </c>
      <c r="J232" s="450">
        <f t="shared" si="91"/>
        <v>498639.04000000004</v>
      </c>
      <c r="K232" s="450">
        <f t="shared" si="91"/>
        <v>472720.92000000004</v>
      </c>
      <c r="L232" s="450">
        <f t="shared" si="91"/>
        <v>470125.52</v>
      </c>
      <c r="M232" s="450">
        <f t="shared" si="91"/>
        <v>473988.76</v>
      </c>
      <c r="N232" s="450">
        <f t="shared" si="91"/>
        <v>506718.42000000004</v>
      </c>
      <c r="O232" s="450">
        <f t="shared" si="91"/>
        <v>679055.82</v>
      </c>
      <c r="P232" s="450">
        <f t="shared" si="91"/>
        <v>999361.48</v>
      </c>
      <c r="Q232" s="450">
        <f>SUM(E232:P232)</f>
        <v>9029105.3399999999</v>
      </c>
    </row>
    <row r="233" spans="1:17" x14ac:dyDescent="0.2">
      <c r="C233" s="455"/>
      <c r="G233" s="290"/>
      <c r="Q233" s="290"/>
    </row>
    <row r="234" spans="1:17" x14ac:dyDescent="0.2">
      <c r="A234" s="222">
        <f>A232+1</f>
        <v>8</v>
      </c>
      <c r="B234" s="219" t="str">
        <f>Input!A42</f>
        <v>GTO</v>
      </c>
      <c r="C234" s="219" t="str">
        <f>'Sch M 2.1'!B37</f>
        <v>GTS Choice - Commercial</v>
      </c>
      <c r="G234" s="290"/>
      <c r="Q234" s="290"/>
    </row>
    <row r="235" spans="1:17" x14ac:dyDescent="0.2">
      <c r="A235" s="222">
        <f>A234+1</f>
        <v>9</v>
      </c>
      <c r="C235" s="444" t="s">
        <v>219</v>
      </c>
      <c r="E235" s="240">
        <f t="shared" ref="E235:P235" si="92">E848</f>
        <v>3837</v>
      </c>
      <c r="F235" s="240">
        <f t="shared" si="92"/>
        <v>3809</v>
      </c>
      <c r="G235" s="240">
        <f t="shared" si="92"/>
        <v>4093</v>
      </c>
      <c r="H235" s="240">
        <f t="shared" si="92"/>
        <v>4081</v>
      </c>
      <c r="I235" s="240">
        <f t="shared" si="92"/>
        <v>4058</v>
      </c>
      <c r="J235" s="240">
        <f t="shared" si="92"/>
        <v>4042</v>
      </c>
      <c r="K235" s="240">
        <f t="shared" si="92"/>
        <v>4016</v>
      </c>
      <c r="L235" s="240">
        <f t="shared" si="92"/>
        <v>3956</v>
      </c>
      <c r="M235" s="240">
        <f t="shared" si="92"/>
        <v>3924</v>
      </c>
      <c r="N235" s="240">
        <f t="shared" si="92"/>
        <v>3899</v>
      </c>
      <c r="O235" s="240">
        <f t="shared" si="92"/>
        <v>3877</v>
      </c>
      <c r="P235" s="240">
        <f t="shared" si="92"/>
        <v>3853</v>
      </c>
      <c r="Q235" s="240">
        <f>SUM(E235:P235)</f>
        <v>47445</v>
      </c>
    </row>
    <row r="236" spans="1:17" x14ac:dyDescent="0.2">
      <c r="A236" s="222">
        <f>A235+1</f>
        <v>10</v>
      </c>
      <c r="C236" s="444" t="s">
        <v>567</v>
      </c>
      <c r="E236" s="245">
        <f t="shared" ref="E236:P236" si="93">E857</f>
        <v>322000.8</v>
      </c>
      <c r="F236" s="245">
        <f t="shared" si="93"/>
        <v>312002.39999999997</v>
      </c>
      <c r="G236" s="245">
        <f t="shared" si="93"/>
        <v>236001.1</v>
      </c>
      <c r="H236" s="245">
        <f t="shared" si="93"/>
        <v>155003.9</v>
      </c>
      <c r="I236" s="245">
        <f t="shared" si="93"/>
        <v>96998.6</v>
      </c>
      <c r="J236" s="245">
        <f t="shared" si="93"/>
        <v>74000.099999999991</v>
      </c>
      <c r="K236" s="245">
        <f t="shared" si="93"/>
        <v>65999</v>
      </c>
      <c r="L236" s="245">
        <f t="shared" si="93"/>
        <v>64001.100000000006</v>
      </c>
      <c r="M236" s="245">
        <f t="shared" si="93"/>
        <v>68998</v>
      </c>
      <c r="N236" s="245">
        <f t="shared" si="93"/>
        <v>90994.6</v>
      </c>
      <c r="O236" s="245">
        <f t="shared" si="93"/>
        <v>139994.69999999998</v>
      </c>
      <c r="P236" s="245">
        <f t="shared" si="93"/>
        <v>233996.5</v>
      </c>
      <c r="Q236" s="245">
        <f>SUM(E236:P236)</f>
        <v>1859990.8000000003</v>
      </c>
    </row>
    <row r="237" spans="1:17" x14ac:dyDescent="0.2">
      <c r="A237" s="222">
        <f>A236+1</f>
        <v>11</v>
      </c>
      <c r="C237" s="444" t="s">
        <v>221</v>
      </c>
      <c r="E237" s="427">
        <f t="shared" ref="E237:P237" si="94">E865</f>
        <v>789616.45</v>
      </c>
      <c r="F237" s="427">
        <f t="shared" si="94"/>
        <v>772729.96</v>
      </c>
      <c r="G237" s="427">
        <f t="shared" si="94"/>
        <v>650934.13</v>
      </c>
      <c r="H237" s="427">
        <f t="shared" si="94"/>
        <v>494426.32999999996</v>
      </c>
      <c r="I237" s="427">
        <f t="shared" si="94"/>
        <v>378455.25</v>
      </c>
      <c r="J237" s="427">
        <f t="shared" si="94"/>
        <v>329980.77999999997</v>
      </c>
      <c r="K237" s="427">
        <f t="shared" si="94"/>
        <v>313540.11</v>
      </c>
      <c r="L237" s="427">
        <f t="shared" si="94"/>
        <v>306979.45999999996</v>
      </c>
      <c r="M237" s="427">
        <f t="shared" si="94"/>
        <v>314988.21999999997</v>
      </c>
      <c r="N237" s="427">
        <f t="shared" si="94"/>
        <v>356013.83999999997</v>
      </c>
      <c r="O237" s="427">
        <f t="shared" si="94"/>
        <v>451324.18999999994</v>
      </c>
      <c r="P237" s="427">
        <f t="shared" si="94"/>
        <v>628048.65</v>
      </c>
      <c r="Q237" s="427">
        <f>SUM(E237:P237)</f>
        <v>5787037.3699999992</v>
      </c>
    </row>
    <row r="238" spans="1:17" x14ac:dyDescent="0.2">
      <c r="A238" s="222">
        <f>A237+1</f>
        <v>12</v>
      </c>
      <c r="C238" s="444" t="s">
        <v>222</v>
      </c>
      <c r="E238" s="427">
        <f t="shared" ref="E238:P238" si="95">E867</f>
        <v>0</v>
      </c>
      <c r="F238" s="427">
        <f t="shared" si="95"/>
        <v>0</v>
      </c>
      <c r="G238" s="427">
        <f t="shared" si="95"/>
        <v>0</v>
      </c>
      <c r="H238" s="427">
        <f t="shared" si="95"/>
        <v>0</v>
      </c>
      <c r="I238" s="427">
        <f t="shared" si="95"/>
        <v>0</v>
      </c>
      <c r="J238" s="427">
        <f t="shared" si="95"/>
        <v>0</v>
      </c>
      <c r="K238" s="427">
        <f t="shared" si="95"/>
        <v>0</v>
      </c>
      <c r="L238" s="427">
        <f t="shared" si="95"/>
        <v>0</v>
      </c>
      <c r="M238" s="427">
        <f t="shared" si="95"/>
        <v>0</v>
      </c>
      <c r="N238" s="427">
        <f t="shared" si="95"/>
        <v>0</v>
      </c>
      <c r="O238" s="427">
        <f t="shared" si="95"/>
        <v>0</v>
      </c>
      <c r="P238" s="427">
        <f t="shared" si="95"/>
        <v>0</v>
      </c>
      <c r="Q238" s="427">
        <f>SUM(E238:P238)</f>
        <v>0</v>
      </c>
    </row>
    <row r="239" spans="1:17" x14ac:dyDescent="0.2">
      <c r="A239" s="446">
        <f>A238+1</f>
        <v>13</v>
      </c>
      <c r="B239" s="447"/>
      <c r="C239" s="448" t="s">
        <v>568</v>
      </c>
      <c r="D239" s="449"/>
      <c r="E239" s="450">
        <f t="shared" ref="E239:P239" si="96">E869</f>
        <v>789616.45</v>
      </c>
      <c r="F239" s="450">
        <f t="shared" si="96"/>
        <v>772729.96</v>
      </c>
      <c r="G239" s="450">
        <f t="shared" si="96"/>
        <v>650934.13</v>
      </c>
      <c r="H239" s="450">
        <f t="shared" si="96"/>
        <v>494426.32999999996</v>
      </c>
      <c r="I239" s="450">
        <f t="shared" si="96"/>
        <v>378455.25</v>
      </c>
      <c r="J239" s="450">
        <f t="shared" si="96"/>
        <v>329980.77999999997</v>
      </c>
      <c r="K239" s="450">
        <f t="shared" si="96"/>
        <v>313540.11</v>
      </c>
      <c r="L239" s="450">
        <f t="shared" si="96"/>
        <v>306979.45999999996</v>
      </c>
      <c r="M239" s="450">
        <f t="shared" si="96"/>
        <v>314988.21999999997</v>
      </c>
      <c r="N239" s="450">
        <f t="shared" si="96"/>
        <v>356013.83999999997</v>
      </c>
      <c r="O239" s="450">
        <f t="shared" si="96"/>
        <v>451324.18999999994</v>
      </c>
      <c r="P239" s="450">
        <f t="shared" si="96"/>
        <v>628048.65</v>
      </c>
      <c r="Q239" s="450">
        <f>SUM(E239:P239)</f>
        <v>5787037.3699999992</v>
      </c>
    </row>
    <row r="240" spans="1:17" x14ac:dyDescent="0.2">
      <c r="C240" s="455"/>
      <c r="G240" s="290"/>
      <c r="Q240" s="290"/>
    </row>
    <row r="241" spans="1:17" x14ac:dyDescent="0.2">
      <c r="A241" s="222">
        <f>A239+1</f>
        <v>14</v>
      </c>
      <c r="B241" s="219" t="str">
        <f>Input!A43</f>
        <v>GTO</v>
      </c>
      <c r="C241" s="219" t="str">
        <f>'Sch M 2.1'!B38</f>
        <v>GTS Choice - Industrial</v>
      </c>
      <c r="E241" s="240"/>
      <c r="G241" s="290"/>
      <c r="Q241" s="290"/>
    </row>
    <row r="242" spans="1:17" x14ac:dyDescent="0.2">
      <c r="A242" s="222">
        <f>A241+1</f>
        <v>15</v>
      </c>
      <c r="C242" s="444" t="s">
        <v>219</v>
      </c>
      <c r="E242" s="240">
        <f t="shared" ref="E242:P242" si="97">E893</f>
        <v>13</v>
      </c>
      <c r="F242" s="240">
        <f t="shared" si="97"/>
        <v>13</v>
      </c>
      <c r="G242" s="240">
        <f t="shared" si="97"/>
        <v>12</v>
      </c>
      <c r="H242" s="240">
        <f t="shared" si="97"/>
        <v>13</v>
      </c>
      <c r="I242" s="240">
        <f t="shared" si="97"/>
        <v>12</v>
      </c>
      <c r="J242" s="240">
        <f t="shared" si="97"/>
        <v>12</v>
      </c>
      <c r="K242" s="240">
        <f t="shared" si="97"/>
        <v>12</v>
      </c>
      <c r="L242" s="240">
        <f t="shared" si="97"/>
        <v>12</v>
      </c>
      <c r="M242" s="240">
        <f t="shared" si="97"/>
        <v>12</v>
      </c>
      <c r="N242" s="240">
        <f t="shared" si="97"/>
        <v>12</v>
      </c>
      <c r="O242" s="240">
        <f t="shared" si="97"/>
        <v>13</v>
      </c>
      <c r="P242" s="240">
        <f t="shared" si="97"/>
        <v>13</v>
      </c>
      <c r="Q242" s="240">
        <f>SUM(E242:P242)</f>
        <v>149</v>
      </c>
    </row>
    <row r="243" spans="1:17" x14ac:dyDescent="0.2">
      <c r="A243" s="222">
        <f>A242+1</f>
        <v>16</v>
      </c>
      <c r="C243" s="444" t="s">
        <v>567</v>
      </c>
      <c r="E243" s="245">
        <f t="shared" ref="E243:P243" si="98">E902</f>
        <v>6000.0999999999995</v>
      </c>
      <c r="F243" s="245">
        <f t="shared" si="98"/>
        <v>5999.9</v>
      </c>
      <c r="G243" s="245">
        <f t="shared" si="98"/>
        <v>5999.9</v>
      </c>
      <c r="H243" s="245">
        <f t="shared" si="98"/>
        <v>5999.9</v>
      </c>
      <c r="I243" s="245">
        <f t="shared" si="98"/>
        <v>6000</v>
      </c>
      <c r="J243" s="245">
        <f t="shared" si="98"/>
        <v>6000.1</v>
      </c>
      <c r="K243" s="245">
        <f t="shared" si="98"/>
        <v>5999.9</v>
      </c>
      <c r="L243" s="245">
        <f t="shared" si="98"/>
        <v>6000</v>
      </c>
      <c r="M243" s="245">
        <f t="shared" si="98"/>
        <v>6000</v>
      </c>
      <c r="N243" s="245">
        <f t="shared" si="98"/>
        <v>6000.1</v>
      </c>
      <c r="O243" s="245">
        <f t="shared" si="98"/>
        <v>6000</v>
      </c>
      <c r="P243" s="245">
        <f t="shared" si="98"/>
        <v>6000</v>
      </c>
      <c r="Q243" s="245">
        <f>SUM(E243:P243)</f>
        <v>71999.899999999994</v>
      </c>
    </row>
    <row r="244" spans="1:17" x14ac:dyDescent="0.2">
      <c r="A244" s="222">
        <f>A243+1</f>
        <v>17</v>
      </c>
      <c r="C244" s="444" t="s">
        <v>221</v>
      </c>
      <c r="E244" s="427">
        <f t="shared" ref="E244:P244" si="99">E910</f>
        <v>10924.45</v>
      </c>
      <c r="F244" s="427">
        <f t="shared" si="99"/>
        <v>10956.53</v>
      </c>
      <c r="G244" s="427">
        <f t="shared" si="99"/>
        <v>10827.15</v>
      </c>
      <c r="H244" s="427">
        <f t="shared" si="99"/>
        <v>10673.79</v>
      </c>
      <c r="I244" s="427">
        <f t="shared" si="99"/>
        <v>10508.53</v>
      </c>
      <c r="J244" s="427">
        <f t="shared" si="99"/>
        <v>10422.530000000001</v>
      </c>
      <c r="K244" s="427">
        <f t="shared" si="99"/>
        <v>10406.379999999999</v>
      </c>
      <c r="L244" s="427">
        <f t="shared" si="99"/>
        <v>10371.209999999999</v>
      </c>
      <c r="M244" s="427">
        <f t="shared" si="99"/>
        <v>10372.99</v>
      </c>
      <c r="N244" s="427">
        <f t="shared" si="99"/>
        <v>10598.68</v>
      </c>
      <c r="O244" s="427">
        <f t="shared" si="99"/>
        <v>10773.99</v>
      </c>
      <c r="P244" s="427">
        <f t="shared" si="99"/>
        <v>10818.01</v>
      </c>
      <c r="Q244" s="427">
        <f>SUM(E244:P244)</f>
        <v>127654.24000000002</v>
      </c>
    </row>
    <row r="245" spans="1:17" x14ac:dyDescent="0.2">
      <c r="A245" s="222">
        <f>A244+1</f>
        <v>18</v>
      </c>
      <c r="C245" s="444" t="s">
        <v>222</v>
      </c>
      <c r="E245" s="427">
        <f t="shared" ref="E245:P245" si="100">E912</f>
        <v>0</v>
      </c>
      <c r="F245" s="427">
        <f t="shared" si="100"/>
        <v>0</v>
      </c>
      <c r="G245" s="427">
        <f t="shared" si="100"/>
        <v>0</v>
      </c>
      <c r="H245" s="427">
        <f t="shared" si="100"/>
        <v>0</v>
      </c>
      <c r="I245" s="427">
        <f t="shared" si="100"/>
        <v>0</v>
      </c>
      <c r="J245" s="427">
        <f t="shared" si="100"/>
        <v>0</v>
      </c>
      <c r="K245" s="427">
        <f t="shared" si="100"/>
        <v>0</v>
      </c>
      <c r="L245" s="427">
        <f t="shared" si="100"/>
        <v>0</v>
      </c>
      <c r="M245" s="427">
        <f t="shared" si="100"/>
        <v>0</v>
      </c>
      <c r="N245" s="427">
        <f t="shared" si="100"/>
        <v>0</v>
      </c>
      <c r="O245" s="427">
        <f t="shared" si="100"/>
        <v>0</v>
      </c>
      <c r="P245" s="427">
        <f t="shared" si="100"/>
        <v>0</v>
      </c>
      <c r="Q245" s="427">
        <f>SUM(E245:P245)</f>
        <v>0</v>
      </c>
    </row>
    <row r="246" spans="1:17" x14ac:dyDescent="0.2">
      <c r="A246" s="446">
        <f>A245+1</f>
        <v>19</v>
      </c>
      <c r="B246" s="447"/>
      <c r="C246" s="448" t="s">
        <v>568</v>
      </c>
      <c r="D246" s="449"/>
      <c r="E246" s="450">
        <f t="shared" ref="E246:P246" si="101">E914</f>
        <v>10924.45</v>
      </c>
      <c r="F246" s="450">
        <f t="shared" si="101"/>
        <v>10956.53</v>
      </c>
      <c r="G246" s="450">
        <f t="shared" si="101"/>
        <v>10827.15</v>
      </c>
      <c r="H246" s="450">
        <f t="shared" si="101"/>
        <v>10673.79</v>
      </c>
      <c r="I246" s="450">
        <f t="shared" si="101"/>
        <v>10508.53</v>
      </c>
      <c r="J246" s="450">
        <f t="shared" si="101"/>
        <v>10422.530000000001</v>
      </c>
      <c r="K246" s="450">
        <f t="shared" si="101"/>
        <v>10406.379999999999</v>
      </c>
      <c r="L246" s="450">
        <f t="shared" si="101"/>
        <v>10371.209999999999</v>
      </c>
      <c r="M246" s="450">
        <f t="shared" si="101"/>
        <v>10372.99</v>
      </c>
      <c r="N246" s="450">
        <f t="shared" si="101"/>
        <v>10598.68</v>
      </c>
      <c r="O246" s="450">
        <f t="shared" si="101"/>
        <v>10773.99</v>
      </c>
      <c r="P246" s="450">
        <f t="shared" si="101"/>
        <v>10818.01</v>
      </c>
      <c r="Q246" s="450">
        <f>SUM(E246:P246)</f>
        <v>127654.24000000002</v>
      </c>
    </row>
    <row r="248" spans="1:17" x14ac:dyDescent="0.2">
      <c r="A248" s="222">
        <f>A246+1</f>
        <v>20</v>
      </c>
      <c r="B248" s="219" t="str">
        <f>Input!A44</f>
        <v>DS</v>
      </c>
      <c r="C248" s="219" t="str">
        <f>'Sch M 2.1'!B39</f>
        <v>GTS Delivery Service - Commercial</v>
      </c>
      <c r="G248" s="290"/>
      <c r="Q248" s="290"/>
    </row>
    <row r="249" spans="1:17" x14ac:dyDescent="0.2">
      <c r="A249" s="222">
        <f>A248+1</f>
        <v>21</v>
      </c>
      <c r="C249" s="444" t="s">
        <v>219</v>
      </c>
      <c r="E249" s="240">
        <f t="shared" ref="E249:P249" si="102">E938</f>
        <v>41</v>
      </c>
      <c r="F249" s="240">
        <f t="shared" si="102"/>
        <v>32</v>
      </c>
      <c r="G249" s="240">
        <f t="shared" si="102"/>
        <v>32</v>
      </c>
      <c r="H249" s="240">
        <f t="shared" si="102"/>
        <v>32</v>
      </c>
      <c r="I249" s="240">
        <f t="shared" si="102"/>
        <v>32</v>
      </c>
      <c r="J249" s="240">
        <f t="shared" si="102"/>
        <v>32</v>
      </c>
      <c r="K249" s="240">
        <f t="shared" si="102"/>
        <v>34</v>
      </c>
      <c r="L249" s="240">
        <f t="shared" si="102"/>
        <v>33</v>
      </c>
      <c r="M249" s="240">
        <f t="shared" si="102"/>
        <v>33</v>
      </c>
      <c r="N249" s="240">
        <f t="shared" si="102"/>
        <v>33</v>
      </c>
      <c r="O249" s="240">
        <f t="shared" si="102"/>
        <v>34</v>
      </c>
      <c r="P249" s="240">
        <f t="shared" si="102"/>
        <v>60</v>
      </c>
      <c r="Q249" s="240">
        <f>SUM(E249:P249)</f>
        <v>428</v>
      </c>
    </row>
    <row r="250" spans="1:17" x14ac:dyDescent="0.2">
      <c r="A250" s="222">
        <f>A249+1</f>
        <v>22</v>
      </c>
      <c r="C250" s="444" t="s">
        <v>567</v>
      </c>
      <c r="E250" s="245">
        <f t="shared" ref="E250:P250" si="103">E947</f>
        <v>188859</v>
      </c>
      <c r="F250" s="245">
        <f t="shared" si="103"/>
        <v>169110.1</v>
      </c>
      <c r="G250" s="245">
        <f t="shared" si="103"/>
        <v>147265.60000000001</v>
      </c>
      <c r="H250" s="245">
        <f t="shared" si="103"/>
        <v>103565.2</v>
      </c>
      <c r="I250" s="245">
        <f t="shared" si="103"/>
        <v>83423.100000000006</v>
      </c>
      <c r="J250" s="245">
        <f t="shared" si="103"/>
        <v>69626.2</v>
      </c>
      <c r="K250" s="245">
        <f t="shared" si="103"/>
        <v>68394.7</v>
      </c>
      <c r="L250" s="245">
        <f t="shared" si="103"/>
        <v>69858.100000000006</v>
      </c>
      <c r="M250" s="245">
        <f t="shared" si="103"/>
        <v>76451.3</v>
      </c>
      <c r="N250" s="245">
        <f t="shared" si="103"/>
        <v>101603.3</v>
      </c>
      <c r="O250" s="245">
        <f t="shared" si="103"/>
        <v>139898.5</v>
      </c>
      <c r="P250" s="245">
        <f t="shared" si="103"/>
        <v>162514.9</v>
      </c>
      <c r="Q250" s="245">
        <f>SUM(E250:P250)</f>
        <v>1380569.9999999998</v>
      </c>
    </row>
    <row r="251" spans="1:17" x14ac:dyDescent="0.2">
      <c r="A251" s="222">
        <f>A250+1</f>
        <v>23</v>
      </c>
      <c r="C251" s="444" t="s">
        <v>221</v>
      </c>
      <c r="E251" s="427">
        <f t="shared" ref="E251:P251" si="104">E954</f>
        <v>164810.09</v>
      </c>
      <c r="F251" s="427">
        <f t="shared" si="104"/>
        <v>140447.91</v>
      </c>
      <c r="G251" s="427">
        <f t="shared" si="104"/>
        <v>128557.95</v>
      </c>
      <c r="H251" s="427">
        <f t="shared" si="104"/>
        <v>104771.82</v>
      </c>
      <c r="I251" s="427">
        <f t="shared" si="104"/>
        <v>93808.47</v>
      </c>
      <c r="J251" s="427">
        <f t="shared" si="104"/>
        <v>86298.82</v>
      </c>
      <c r="K251" s="427">
        <f t="shared" si="104"/>
        <v>88653.599999999991</v>
      </c>
      <c r="L251" s="427">
        <f t="shared" si="104"/>
        <v>87937.58</v>
      </c>
      <c r="M251" s="427">
        <f t="shared" si="104"/>
        <v>91526.260000000009</v>
      </c>
      <c r="N251" s="427">
        <f t="shared" si="104"/>
        <v>105216.5</v>
      </c>
      <c r="O251" s="427">
        <f t="shared" si="104"/>
        <v>127573.10999999999</v>
      </c>
      <c r="P251" s="427">
        <f t="shared" si="104"/>
        <v>179209.26</v>
      </c>
      <c r="Q251" s="427">
        <f>SUM(E251:P251)</f>
        <v>1398811.3699999999</v>
      </c>
    </row>
    <row r="252" spans="1:17" x14ac:dyDescent="0.2">
      <c r="A252" s="222">
        <f>A251+1</f>
        <v>24</v>
      </c>
      <c r="C252" s="444" t="s">
        <v>222</v>
      </c>
      <c r="E252" s="427">
        <f t="shared" ref="E252:P252" si="105">E956</f>
        <v>0</v>
      </c>
      <c r="F252" s="427">
        <f t="shared" si="105"/>
        <v>0</v>
      </c>
      <c r="G252" s="427">
        <f t="shared" si="105"/>
        <v>0</v>
      </c>
      <c r="H252" s="427">
        <f t="shared" si="105"/>
        <v>0</v>
      </c>
      <c r="I252" s="427">
        <f t="shared" si="105"/>
        <v>0</v>
      </c>
      <c r="J252" s="427">
        <f t="shared" si="105"/>
        <v>0</v>
      </c>
      <c r="K252" s="427">
        <f t="shared" si="105"/>
        <v>0</v>
      </c>
      <c r="L252" s="427">
        <f t="shared" si="105"/>
        <v>0</v>
      </c>
      <c r="M252" s="427">
        <f t="shared" si="105"/>
        <v>0</v>
      </c>
      <c r="N252" s="427">
        <f t="shared" si="105"/>
        <v>0</v>
      </c>
      <c r="O252" s="427">
        <f t="shared" si="105"/>
        <v>0</v>
      </c>
      <c r="P252" s="427">
        <f t="shared" si="105"/>
        <v>0</v>
      </c>
      <c r="Q252" s="427">
        <f>SUM(E252:P252)</f>
        <v>0</v>
      </c>
    </row>
    <row r="253" spans="1:17" x14ac:dyDescent="0.2">
      <c r="A253" s="446">
        <f>A252+1</f>
        <v>25</v>
      </c>
      <c r="B253" s="447"/>
      <c r="C253" s="448" t="s">
        <v>568</v>
      </c>
      <c r="D253" s="449"/>
      <c r="E253" s="450">
        <f t="shared" ref="E253:P253" si="106">E958</f>
        <v>164810.09</v>
      </c>
      <c r="F253" s="450">
        <f t="shared" si="106"/>
        <v>140447.91</v>
      </c>
      <c r="G253" s="450">
        <f t="shared" si="106"/>
        <v>128557.95</v>
      </c>
      <c r="H253" s="450">
        <f t="shared" si="106"/>
        <v>104771.82</v>
      </c>
      <c r="I253" s="450">
        <f t="shared" si="106"/>
        <v>93808.47</v>
      </c>
      <c r="J253" s="450">
        <f t="shared" si="106"/>
        <v>86298.82</v>
      </c>
      <c r="K253" s="450">
        <f t="shared" si="106"/>
        <v>88653.599999999991</v>
      </c>
      <c r="L253" s="450">
        <f t="shared" si="106"/>
        <v>87937.58</v>
      </c>
      <c r="M253" s="450">
        <f t="shared" si="106"/>
        <v>91526.260000000009</v>
      </c>
      <c r="N253" s="450">
        <f t="shared" si="106"/>
        <v>105216.5</v>
      </c>
      <c r="O253" s="450">
        <f t="shared" si="106"/>
        <v>127573.10999999999</v>
      </c>
      <c r="P253" s="450">
        <f t="shared" si="106"/>
        <v>179209.26</v>
      </c>
      <c r="Q253" s="450">
        <f>SUM(E253:P253)</f>
        <v>1398811.3699999999</v>
      </c>
    </row>
    <row r="254" spans="1:17" x14ac:dyDescent="0.2">
      <c r="A254" s="302"/>
      <c r="C254" s="455"/>
      <c r="G254" s="290"/>
      <c r="Q254" s="290"/>
    </row>
    <row r="255" spans="1:17" x14ac:dyDescent="0.2">
      <c r="A255" s="222">
        <f>A253+1</f>
        <v>26</v>
      </c>
      <c r="B255" s="219" t="str">
        <f>Input!A45</f>
        <v>DS</v>
      </c>
      <c r="C255" s="219" t="str">
        <f>'Sch M 2.1'!B40</f>
        <v>GTS Delivery Service - Industrial</v>
      </c>
      <c r="G255" s="290"/>
      <c r="Q255" s="290"/>
    </row>
    <row r="256" spans="1:17" x14ac:dyDescent="0.2">
      <c r="A256" s="222">
        <f>A255+1</f>
        <v>27</v>
      </c>
      <c r="C256" s="444" t="s">
        <v>219</v>
      </c>
      <c r="E256" s="240">
        <f t="shared" ref="E256:P256" si="107">E965</f>
        <v>39</v>
      </c>
      <c r="F256" s="240">
        <f t="shared" si="107"/>
        <v>39</v>
      </c>
      <c r="G256" s="240">
        <f t="shared" si="107"/>
        <v>39</v>
      </c>
      <c r="H256" s="240">
        <f t="shared" si="107"/>
        <v>39</v>
      </c>
      <c r="I256" s="240">
        <f t="shared" si="107"/>
        <v>39</v>
      </c>
      <c r="J256" s="240">
        <f t="shared" si="107"/>
        <v>39</v>
      </c>
      <c r="K256" s="240">
        <f t="shared" si="107"/>
        <v>39</v>
      </c>
      <c r="L256" s="240">
        <f t="shared" si="107"/>
        <v>39</v>
      </c>
      <c r="M256" s="240">
        <f t="shared" si="107"/>
        <v>39</v>
      </c>
      <c r="N256" s="240">
        <f t="shared" si="107"/>
        <v>39</v>
      </c>
      <c r="O256" s="240">
        <f t="shared" si="107"/>
        <v>39</v>
      </c>
      <c r="P256" s="240">
        <f t="shared" si="107"/>
        <v>39</v>
      </c>
      <c r="Q256" s="240">
        <f>SUM(E256:P256)</f>
        <v>468</v>
      </c>
    </row>
    <row r="257" spans="1:17" x14ac:dyDescent="0.2">
      <c r="A257" s="222">
        <f>A256+1</f>
        <v>28</v>
      </c>
      <c r="C257" s="444" t="s">
        <v>567</v>
      </c>
      <c r="E257" s="245">
        <f t="shared" ref="E257:P257" si="108">E974</f>
        <v>674909.5</v>
      </c>
      <c r="F257" s="245">
        <f t="shared" si="108"/>
        <v>602578.5</v>
      </c>
      <c r="G257" s="245">
        <f t="shared" si="108"/>
        <v>525440.69999999995</v>
      </c>
      <c r="H257" s="245">
        <f t="shared" si="108"/>
        <v>427583.6</v>
      </c>
      <c r="I257" s="245">
        <f t="shared" si="108"/>
        <v>368992.8</v>
      </c>
      <c r="J257" s="245">
        <f t="shared" si="108"/>
        <v>339504.1</v>
      </c>
      <c r="K257" s="245">
        <f t="shared" si="108"/>
        <v>295115.5</v>
      </c>
      <c r="L257" s="245">
        <f t="shared" si="108"/>
        <v>342173.2</v>
      </c>
      <c r="M257" s="245">
        <f t="shared" si="108"/>
        <v>361661.7</v>
      </c>
      <c r="N257" s="245">
        <f t="shared" si="108"/>
        <v>454356.4</v>
      </c>
      <c r="O257" s="245">
        <f t="shared" si="108"/>
        <v>551432</v>
      </c>
      <c r="P257" s="245">
        <f t="shared" si="108"/>
        <v>573549.4</v>
      </c>
      <c r="Q257" s="245">
        <f>SUM(E257:P257)</f>
        <v>5517297.4000000004</v>
      </c>
    </row>
    <row r="258" spans="1:17" x14ac:dyDescent="0.2">
      <c r="A258" s="222">
        <f>A257+1</f>
        <v>29</v>
      </c>
      <c r="C258" s="444" t="s">
        <v>221</v>
      </c>
      <c r="E258" s="427">
        <f t="shared" ref="E258:P258" si="109">E981</f>
        <v>346618.23</v>
      </c>
      <c r="F258" s="427">
        <f t="shared" si="109"/>
        <v>318983.58999999997</v>
      </c>
      <c r="G258" s="427">
        <f t="shared" si="109"/>
        <v>289731.34999999998</v>
      </c>
      <c r="H258" s="427">
        <f t="shared" si="109"/>
        <v>256523.59</v>
      </c>
      <c r="I258" s="427">
        <f t="shared" si="109"/>
        <v>235868.37</v>
      </c>
      <c r="J258" s="427">
        <f t="shared" si="109"/>
        <v>225560.38</v>
      </c>
      <c r="K258" s="427">
        <f t="shared" si="109"/>
        <v>206224.84</v>
      </c>
      <c r="L258" s="427">
        <f t="shared" si="109"/>
        <v>226264.13</v>
      </c>
      <c r="M258" s="427">
        <f t="shared" si="109"/>
        <v>235123.93</v>
      </c>
      <c r="N258" s="427">
        <f t="shared" si="109"/>
        <v>269348.23</v>
      </c>
      <c r="O258" s="427">
        <f t="shared" si="109"/>
        <v>301962.12</v>
      </c>
      <c r="P258" s="427">
        <f t="shared" si="109"/>
        <v>310255.37</v>
      </c>
      <c r="Q258" s="427">
        <f>SUM(E258:P258)</f>
        <v>3222464.1300000004</v>
      </c>
    </row>
    <row r="259" spans="1:17" x14ac:dyDescent="0.2">
      <c r="A259" s="222">
        <f>A258+1</f>
        <v>30</v>
      </c>
      <c r="C259" s="444" t="s">
        <v>222</v>
      </c>
      <c r="E259" s="427">
        <f t="shared" ref="E259:P259" si="110">E983</f>
        <v>0</v>
      </c>
      <c r="F259" s="427">
        <f t="shared" si="110"/>
        <v>0</v>
      </c>
      <c r="G259" s="427">
        <f t="shared" si="110"/>
        <v>0</v>
      </c>
      <c r="H259" s="427">
        <f t="shared" si="110"/>
        <v>0</v>
      </c>
      <c r="I259" s="427">
        <f t="shared" si="110"/>
        <v>0</v>
      </c>
      <c r="J259" s="427">
        <f t="shared" si="110"/>
        <v>0</v>
      </c>
      <c r="K259" s="427">
        <f t="shared" si="110"/>
        <v>0</v>
      </c>
      <c r="L259" s="427">
        <f t="shared" si="110"/>
        <v>0</v>
      </c>
      <c r="M259" s="427">
        <f t="shared" si="110"/>
        <v>0</v>
      </c>
      <c r="N259" s="427">
        <f t="shared" si="110"/>
        <v>0</v>
      </c>
      <c r="O259" s="427">
        <f t="shared" si="110"/>
        <v>0</v>
      </c>
      <c r="P259" s="427">
        <f t="shared" si="110"/>
        <v>0</v>
      </c>
      <c r="Q259" s="427">
        <f>SUM(E259:P259)</f>
        <v>0</v>
      </c>
    </row>
    <row r="260" spans="1:17" x14ac:dyDescent="0.2">
      <c r="A260" s="446">
        <f>A259+1</f>
        <v>31</v>
      </c>
      <c r="B260" s="447"/>
      <c r="C260" s="448" t="s">
        <v>568</v>
      </c>
      <c r="D260" s="449"/>
      <c r="E260" s="450">
        <f t="shared" ref="E260:P260" si="111">E985</f>
        <v>346618.23</v>
      </c>
      <c r="F260" s="450">
        <f t="shared" si="111"/>
        <v>318983.58999999997</v>
      </c>
      <c r="G260" s="450">
        <f t="shared" si="111"/>
        <v>289731.34999999998</v>
      </c>
      <c r="H260" s="450">
        <f t="shared" si="111"/>
        <v>256523.59</v>
      </c>
      <c r="I260" s="450">
        <f t="shared" si="111"/>
        <v>235868.37</v>
      </c>
      <c r="J260" s="450">
        <f t="shared" si="111"/>
        <v>225560.38</v>
      </c>
      <c r="K260" s="450">
        <f t="shared" si="111"/>
        <v>206224.84</v>
      </c>
      <c r="L260" s="450">
        <f t="shared" si="111"/>
        <v>226264.13</v>
      </c>
      <c r="M260" s="450">
        <f t="shared" si="111"/>
        <v>235123.93</v>
      </c>
      <c r="N260" s="450">
        <f t="shared" si="111"/>
        <v>269348.23</v>
      </c>
      <c r="O260" s="450">
        <f t="shared" si="111"/>
        <v>301962.12</v>
      </c>
      <c r="P260" s="450">
        <f t="shared" si="111"/>
        <v>310255.37</v>
      </c>
      <c r="Q260" s="450">
        <f>SUM(E260:P260)</f>
        <v>3222464.1300000004</v>
      </c>
    </row>
    <row r="261" spans="1:17" x14ac:dyDescent="0.2">
      <c r="G261" s="290"/>
      <c r="Q261" s="290"/>
    </row>
    <row r="262" spans="1:17" x14ac:dyDescent="0.2">
      <c r="A262" s="222">
        <f>A260+1</f>
        <v>32</v>
      </c>
      <c r="B262" s="219" t="str">
        <f>Input!A46</f>
        <v>GDS</v>
      </c>
      <c r="C262" s="219" t="str">
        <f>'Sch M 2.1'!B41</f>
        <v>GTS Grandfathered Delivery Service - Commercial</v>
      </c>
      <c r="G262" s="290"/>
      <c r="Q262" s="290"/>
    </row>
    <row r="263" spans="1:17" x14ac:dyDescent="0.2">
      <c r="A263" s="222">
        <f>A262+1</f>
        <v>33</v>
      </c>
      <c r="C263" s="444" t="s">
        <v>219</v>
      </c>
      <c r="E263" s="240">
        <f t="shared" ref="E263:P263" si="112">E1008</f>
        <v>12</v>
      </c>
      <c r="F263" s="240">
        <f t="shared" si="112"/>
        <v>12</v>
      </c>
      <c r="G263" s="240">
        <f t="shared" si="112"/>
        <v>12</v>
      </c>
      <c r="H263" s="240">
        <f t="shared" si="112"/>
        <v>12</v>
      </c>
      <c r="I263" s="240">
        <f t="shared" si="112"/>
        <v>12</v>
      </c>
      <c r="J263" s="240">
        <f t="shared" si="112"/>
        <v>12</v>
      </c>
      <c r="K263" s="240">
        <f t="shared" si="112"/>
        <v>12</v>
      </c>
      <c r="L263" s="240">
        <f t="shared" si="112"/>
        <v>12</v>
      </c>
      <c r="M263" s="240">
        <f t="shared" si="112"/>
        <v>12</v>
      </c>
      <c r="N263" s="240">
        <f t="shared" si="112"/>
        <v>12</v>
      </c>
      <c r="O263" s="240">
        <f t="shared" si="112"/>
        <v>13</v>
      </c>
      <c r="P263" s="240">
        <f t="shared" si="112"/>
        <v>12</v>
      </c>
      <c r="Q263" s="240">
        <f>SUM(E263:P263)</f>
        <v>145</v>
      </c>
    </row>
    <row r="264" spans="1:17" x14ac:dyDescent="0.2">
      <c r="A264" s="222">
        <f>A263+1</f>
        <v>34</v>
      </c>
      <c r="C264" s="444" t="s">
        <v>567</v>
      </c>
      <c r="E264" s="245">
        <f t="shared" ref="E264:P264" si="113">E1018</f>
        <v>25802.9</v>
      </c>
      <c r="F264" s="245">
        <f t="shared" si="113"/>
        <v>25486</v>
      </c>
      <c r="G264" s="245">
        <f t="shared" si="113"/>
        <v>22066.6</v>
      </c>
      <c r="H264" s="245">
        <f t="shared" si="113"/>
        <v>16282.900000000001</v>
      </c>
      <c r="I264" s="245">
        <f t="shared" si="113"/>
        <v>15072.900000000001</v>
      </c>
      <c r="J264" s="245">
        <f t="shared" si="113"/>
        <v>10869.6</v>
      </c>
      <c r="K264" s="245">
        <f t="shared" si="113"/>
        <v>12145.5</v>
      </c>
      <c r="L264" s="245">
        <f t="shared" si="113"/>
        <v>10637.9</v>
      </c>
      <c r="M264" s="245">
        <f t="shared" si="113"/>
        <v>11242.7</v>
      </c>
      <c r="N264" s="245">
        <f t="shared" si="113"/>
        <v>14420.7</v>
      </c>
      <c r="O264" s="245">
        <f t="shared" si="113"/>
        <v>18455.5</v>
      </c>
      <c r="P264" s="245">
        <f t="shared" si="113"/>
        <v>21147.3</v>
      </c>
      <c r="Q264" s="245">
        <f>SUM(E264:P264)</f>
        <v>203630.5</v>
      </c>
    </row>
    <row r="265" spans="1:17" x14ac:dyDescent="0.2">
      <c r="A265" s="222">
        <f>A264+1</f>
        <v>35</v>
      </c>
      <c r="C265" s="444" t="s">
        <v>221</v>
      </c>
      <c r="E265" s="427">
        <f t="shared" ref="E265:P265" si="114">E1026</f>
        <v>42841.159999999996</v>
      </c>
      <c r="F265" s="427">
        <f t="shared" si="114"/>
        <v>42332.61</v>
      </c>
      <c r="G265" s="427">
        <f t="shared" si="114"/>
        <v>37159.640000000007</v>
      </c>
      <c r="H265" s="427">
        <f t="shared" si="114"/>
        <v>28265.93</v>
      </c>
      <c r="I265" s="427">
        <f t="shared" si="114"/>
        <v>26433.4</v>
      </c>
      <c r="J265" s="427">
        <f t="shared" si="114"/>
        <v>19805.21</v>
      </c>
      <c r="K265" s="427">
        <f t="shared" si="114"/>
        <v>21795.809999999998</v>
      </c>
      <c r="L265" s="427">
        <f t="shared" si="114"/>
        <v>19351.78</v>
      </c>
      <c r="M265" s="427">
        <f t="shared" si="114"/>
        <v>20392.090000000004</v>
      </c>
      <c r="N265" s="427">
        <f t="shared" si="114"/>
        <v>25389.480000000003</v>
      </c>
      <c r="O265" s="427">
        <f t="shared" si="114"/>
        <v>31594.989999999998</v>
      </c>
      <c r="P265" s="427">
        <f t="shared" si="114"/>
        <v>35765.030000000006</v>
      </c>
      <c r="Q265" s="427">
        <f>SUM(E265:P265)</f>
        <v>351127.13</v>
      </c>
    </row>
    <row r="266" spans="1:17" x14ac:dyDescent="0.2">
      <c r="A266" s="222">
        <f>A265+1</f>
        <v>36</v>
      </c>
      <c r="C266" s="444" t="s">
        <v>222</v>
      </c>
      <c r="E266" s="427">
        <f t="shared" ref="E266:P266" si="115">E1028</f>
        <v>0</v>
      </c>
      <c r="F266" s="427">
        <f t="shared" si="115"/>
        <v>0</v>
      </c>
      <c r="G266" s="427">
        <f t="shared" si="115"/>
        <v>0</v>
      </c>
      <c r="H266" s="427">
        <f t="shared" si="115"/>
        <v>0</v>
      </c>
      <c r="I266" s="427">
        <f t="shared" si="115"/>
        <v>0</v>
      </c>
      <c r="J266" s="427">
        <f t="shared" si="115"/>
        <v>0</v>
      </c>
      <c r="K266" s="427">
        <f t="shared" si="115"/>
        <v>0</v>
      </c>
      <c r="L266" s="427">
        <f t="shared" si="115"/>
        <v>0</v>
      </c>
      <c r="M266" s="427">
        <f t="shared" si="115"/>
        <v>0</v>
      </c>
      <c r="N266" s="427">
        <f t="shared" si="115"/>
        <v>0</v>
      </c>
      <c r="O266" s="427">
        <f t="shared" si="115"/>
        <v>0</v>
      </c>
      <c r="P266" s="427">
        <f t="shared" si="115"/>
        <v>0</v>
      </c>
      <c r="Q266" s="427">
        <f>SUM(E266:P266)</f>
        <v>0</v>
      </c>
    </row>
    <row r="267" spans="1:17" x14ac:dyDescent="0.2">
      <c r="A267" s="446">
        <f>A266+1</f>
        <v>37</v>
      </c>
      <c r="B267" s="447"/>
      <c r="C267" s="448" t="s">
        <v>568</v>
      </c>
      <c r="D267" s="449"/>
      <c r="E267" s="450">
        <f t="shared" ref="E267:P267" si="116">E1030</f>
        <v>42841.159999999996</v>
      </c>
      <c r="F267" s="450">
        <f t="shared" si="116"/>
        <v>42332.61</v>
      </c>
      <c r="G267" s="450">
        <f t="shared" si="116"/>
        <v>37159.640000000007</v>
      </c>
      <c r="H267" s="450">
        <f t="shared" si="116"/>
        <v>28265.93</v>
      </c>
      <c r="I267" s="450">
        <f t="shared" si="116"/>
        <v>26433.4</v>
      </c>
      <c r="J267" s="450">
        <f t="shared" si="116"/>
        <v>19805.21</v>
      </c>
      <c r="K267" s="450">
        <f t="shared" si="116"/>
        <v>21795.809999999998</v>
      </c>
      <c r="L267" s="450">
        <f t="shared" si="116"/>
        <v>19351.78</v>
      </c>
      <c r="M267" s="450">
        <f t="shared" si="116"/>
        <v>20392.090000000004</v>
      </c>
      <c r="N267" s="450">
        <f t="shared" si="116"/>
        <v>25389.480000000003</v>
      </c>
      <c r="O267" s="450">
        <f t="shared" si="116"/>
        <v>31594.989999999998</v>
      </c>
      <c r="P267" s="450">
        <f t="shared" si="116"/>
        <v>35765.030000000006</v>
      </c>
      <c r="Q267" s="450">
        <f>SUM(E267:P267)</f>
        <v>351127.13</v>
      </c>
    </row>
    <row r="268" spans="1:17" x14ac:dyDescent="0.2">
      <c r="G268" s="290"/>
      <c r="Q268" s="290"/>
    </row>
    <row r="269" spans="1:17" x14ac:dyDescent="0.2">
      <c r="A269" s="219"/>
      <c r="D269" s="219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</row>
    <row r="270" spans="1:17" x14ac:dyDescent="0.2">
      <c r="A270" s="222" t="str">
        <f>$A$108</f>
        <v>[1] Reflects Normalized Volumes.</v>
      </c>
    </row>
    <row r="271" spans="1:17" x14ac:dyDescent="0.2">
      <c r="A271" s="460" t="str">
        <f>$A$109</f>
        <v>[2] See Schedule M-2.2 Pages 8 through 21 for detail.</v>
      </c>
    </row>
    <row r="272" spans="1:17" x14ac:dyDescent="0.2">
      <c r="A272" s="993" t="str">
        <f>CONAME</f>
        <v>Columbia Gas of Kentucky, Inc.</v>
      </c>
      <c r="B272" s="993"/>
      <c r="C272" s="993"/>
      <c r="D272" s="993"/>
      <c r="E272" s="993"/>
      <c r="F272" s="993"/>
      <c r="G272" s="993"/>
      <c r="H272" s="993"/>
      <c r="I272" s="993"/>
      <c r="J272" s="993"/>
      <c r="K272" s="993"/>
      <c r="L272" s="993"/>
      <c r="M272" s="993"/>
      <c r="N272" s="993"/>
      <c r="O272" s="993"/>
      <c r="P272" s="993"/>
      <c r="Q272" s="993"/>
    </row>
    <row r="273" spans="1:17" x14ac:dyDescent="0.2">
      <c r="A273" s="981" t="str">
        <f>case</f>
        <v>Case No. 2016-00162</v>
      </c>
      <c r="B273" s="981"/>
      <c r="C273" s="981"/>
      <c r="D273" s="981"/>
      <c r="E273" s="981"/>
      <c r="F273" s="981"/>
      <c r="G273" s="981"/>
      <c r="H273" s="981"/>
      <c r="I273" s="981"/>
      <c r="J273" s="981"/>
      <c r="K273" s="981"/>
      <c r="L273" s="981"/>
      <c r="M273" s="981"/>
      <c r="N273" s="981"/>
      <c r="O273" s="981"/>
      <c r="P273" s="981"/>
      <c r="Q273" s="981"/>
    </row>
    <row r="274" spans="1:17" x14ac:dyDescent="0.2">
      <c r="A274" s="994" t="s">
        <v>494</v>
      </c>
      <c r="B274" s="994"/>
      <c r="C274" s="994"/>
      <c r="D274" s="994"/>
      <c r="E274" s="994"/>
      <c r="F274" s="994"/>
      <c r="G274" s="994"/>
      <c r="H274" s="994"/>
      <c r="I274" s="994"/>
      <c r="J274" s="994"/>
      <c r="K274" s="994"/>
      <c r="L274" s="994"/>
      <c r="M274" s="994"/>
      <c r="N274" s="994"/>
      <c r="O274" s="994"/>
      <c r="P274" s="994"/>
      <c r="Q274" s="994"/>
    </row>
    <row r="275" spans="1:17" x14ac:dyDescent="0.2">
      <c r="A275" s="993" t="str">
        <f>TYDESC</f>
        <v>For the 12 Months Ended December 31, 2017</v>
      </c>
      <c r="B275" s="993"/>
      <c r="C275" s="993"/>
      <c r="D275" s="993"/>
      <c r="E275" s="993"/>
      <c r="F275" s="993"/>
      <c r="G275" s="993"/>
      <c r="H275" s="993"/>
      <c r="I275" s="993"/>
      <c r="J275" s="993"/>
      <c r="K275" s="993"/>
      <c r="L275" s="993"/>
      <c r="M275" s="993"/>
      <c r="N275" s="993"/>
      <c r="O275" s="993"/>
      <c r="P275" s="993"/>
      <c r="Q275" s="993"/>
    </row>
    <row r="276" spans="1:17" x14ac:dyDescent="0.2">
      <c r="A276" s="991" t="s">
        <v>39</v>
      </c>
      <c r="B276" s="991"/>
      <c r="C276" s="991"/>
      <c r="D276" s="991"/>
      <c r="E276" s="991"/>
      <c r="F276" s="991"/>
      <c r="G276" s="991"/>
      <c r="H276" s="991"/>
      <c r="I276" s="991"/>
      <c r="J276" s="991"/>
      <c r="K276" s="991"/>
      <c r="L276" s="991"/>
      <c r="M276" s="991"/>
      <c r="N276" s="991"/>
      <c r="O276" s="991"/>
      <c r="P276" s="991"/>
      <c r="Q276" s="991"/>
    </row>
    <row r="277" spans="1:17" x14ac:dyDescent="0.2">
      <c r="A277" s="262" t="str">
        <f>$A$52</f>
        <v>Data: __ Base Period _X_ Forecasted Period</v>
      </c>
    </row>
    <row r="278" spans="1:17" x14ac:dyDescent="0.2">
      <c r="A278" s="262" t="str">
        <f>$A$53</f>
        <v>Type of Filing: X Original _ Update _ Revised</v>
      </c>
      <c r="Q278" s="413" t="str">
        <f>$Q$53</f>
        <v>Schedule M-2.2</v>
      </c>
    </row>
    <row r="279" spans="1:17" x14ac:dyDescent="0.2">
      <c r="A279" s="262" t="str">
        <f>$A$54</f>
        <v>Work Paper Reference No(s):</v>
      </c>
      <c r="Q279" s="413" t="s">
        <v>500</v>
      </c>
    </row>
    <row r="280" spans="1:17" x14ac:dyDescent="0.2">
      <c r="A280" s="414" t="str">
        <f>$A$55</f>
        <v>12 Months Forecasted</v>
      </c>
      <c r="Q280" s="413" t="str">
        <f>Witness</f>
        <v>Witness:  M. J. Bell</v>
      </c>
    </row>
    <row r="281" spans="1:17" x14ac:dyDescent="0.2">
      <c r="A281" s="992" t="s">
        <v>194</v>
      </c>
      <c r="B281" s="992"/>
      <c r="C281" s="992"/>
      <c r="D281" s="992"/>
      <c r="E281" s="992"/>
      <c r="F281" s="992"/>
      <c r="G281" s="992"/>
      <c r="H281" s="992"/>
      <c r="I281" s="992"/>
      <c r="J281" s="992"/>
      <c r="K281" s="992"/>
      <c r="L281" s="992"/>
      <c r="M281" s="992"/>
      <c r="N281" s="992"/>
      <c r="O281" s="992"/>
      <c r="P281" s="992"/>
      <c r="Q281" s="992"/>
    </row>
    <row r="282" spans="1:17" x14ac:dyDescent="0.2">
      <c r="A282" s="433"/>
      <c r="B282" s="301"/>
      <c r="C282" s="301"/>
      <c r="D282" s="300"/>
      <c r="E282" s="301"/>
      <c r="F282" s="415"/>
      <c r="G282" s="435"/>
      <c r="H282" s="415"/>
      <c r="I282" s="436"/>
      <c r="J282" s="415"/>
      <c r="K282" s="415"/>
      <c r="L282" s="415"/>
      <c r="M282" s="415"/>
      <c r="N282" s="415"/>
      <c r="O282" s="415"/>
      <c r="P282" s="415"/>
      <c r="Q282" s="301"/>
    </row>
    <row r="283" spans="1:17" x14ac:dyDescent="0.2">
      <c r="A283" s="410" t="s">
        <v>1</v>
      </c>
      <c r="B283" s="224" t="s">
        <v>0</v>
      </c>
      <c r="C283" s="224" t="s">
        <v>41</v>
      </c>
      <c r="D283" s="416" t="s">
        <v>47</v>
      </c>
      <c r="E283" s="417"/>
      <c r="F283" s="418"/>
      <c r="G283" s="417"/>
      <c r="H283" s="419"/>
      <c r="I283" s="417"/>
      <c r="J283" s="417"/>
      <c r="K283" s="417"/>
      <c r="L283" s="417"/>
      <c r="M283" s="417"/>
      <c r="N283" s="417"/>
      <c r="O283" s="229"/>
      <c r="P283" s="229"/>
      <c r="Q283" s="229"/>
    </row>
    <row r="284" spans="1:17" x14ac:dyDescent="0.2">
      <c r="A284" s="281" t="s">
        <v>3</v>
      </c>
      <c r="B284" s="226" t="s">
        <v>40</v>
      </c>
      <c r="C284" s="226" t="s">
        <v>4</v>
      </c>
      <c r="D284" s="420" t="s">
        <v>48</v>
      </c>
      <c r="E284" s="421" t="str">
        <f>B!$D$11</f>
        <v>Jan-17</v>
      </c>
      <c r="F284" s="421" t="str">
        <f>B!$E$11</f>
        <v>Feb-17</v>
      </c>
      <c r="G284" s="421" t="str">
        <f>B!$F$11</f>
        <v>Mar-17</v>
      </c>
      <c r="H284" s="421" t="str">
        <f>B!$G$11</f>
        <v>Apr-17</v>
      </c>
      <c r="I284" s="421" t="str">
        <f>B!$H$11</f>
        <v>May-17</v>
      </c>
      <c r="J284" s="421" t="str">
        <f>B!$I$11</f>
        <v>Jun-17</v>
      </c>
      <c r="K284" s="421" t="str">
        <f>B!$J$11</f>
        <v>Jul-17</v>
      </c>
      <c r="L284" s="421" t="str">
        <f>B!$K$11</f>
        <v>Aug-17</v>
      </c>
      <c r="M284" s="421" t="str">
        <f>B!$L$11</f>
        <v>Sep-17</v>
      </c>
      <c r="N284" s="421" t="str">
        <f>B!$M$11</f>
        <v>Oct-17</v>
      </c>
      <c r="O284" s="421" t="str">
        <f>B!$N$11</f>
        <v>Nov-17</v>
      </c>
      <c r="P284" s="421" t="str">
        <f>B!$O$11</f>
        <v>Dec-17</v>
      </c>
      <c r="Q284" s="422" t="s">
        <v>9</v>
      </c>
    </row>
    <row r="285" spans="1:17" x14ac:dyDescent="0.2">
      <c r="A285" s="410"/>
      <c r="B285" s="229" t="s">
        <v>42</v>
      </c>
      <c r="C285" s="229" t="s">
        <v>43</v>
      </c>
      <c r="D285" s="423" t="s">
        <v>45</v>
      </c>
      <c r="E285" s="424" t="s">
        <v>46</v>
      </c>
      <c r="F285" s="424" t="s">
        <v>49</v>
      </c>
      <c r="G285" s="424" t="s">
        <v>50</v>
      </c>
      <c r="H285" s="424" t="s">
        <v>51</v>
      </c>
      <c r="I285" s="424" t="s">
        <v>52</v>
      </c>
      <c r="J285" s="424" t="s">
        <v>53</v>
      </c>
      <c r="K285" s="425" t="s">
        <v>54</v>
      </c>
      <c r="L285" s="425" t="s">
        <v>55</v>
      </c>
      <c r="M285" s="425" t="s">
        <v>56</v>
      </c>
      <c r="N285" s="425" t="s">
        <v>57</v>
      </c>
      <c r="O285" s="425" t="s">
        <v>58</v>
      </c>
      <c r="P285" s="425" t="s">
        <v>59</v>
      </c>
      <c r="Q285" s="425" t="s">
        <v>203</v>
      </c>
    </row>
    <row r="286" spans="1:17" x14ac:dyDescent="0.2">
      <c r="E286" s="229"/>
      <c r="F286" s="425"/>
      <c r="G286" s="437"/>
      <c r="H286" s="425"/>
      <c r="I286" s="424"/>
      <c r="J286" s="425"/>
      <c r="K286" s="425"/>
      <c r="L286" s="425"/>
      <c r="M286" s="425"/>
      <c r="N286" s="425"/>
      <c r="O286" s="425"/>
      <c r="P286" s="425"/>
      <c r="Q286" s="229"/>
    </row>
    <row r="287" spans="1:17" x14ac:dyDescent="0.2">
      <c r="A287" s="222">
        <v>1</v>
      </c>
      <c r="C287" s="438" t="s">
        <v>95</v>
      </c>
    </row>
    <row r="289" spans="1:17" x14ac:dyDescent="0.2">
      <c r="A289" s="222">
        <f>A287+1</f>
        <v>2</v>
      </c>
      <c r="B289" s="219" t="str">
        <f>Input!A47</f>
        <v>GDS</v>
      </c>
      <c r="C289" s="219" t="str">
        <f>'Sch M 2.1'!B42</f>
        <v>GTS Grandfathered Delivery Service - Industrial</v>
      </c>
      <c r="G289" s="290"/>
      <c r="Q289" s="290"/>
    </row>
    <row r="290" spans="1:17" x14ac:dyDescent="0.2">
      <c r="A290" s="222">
        <f>A289+1</f>
        <v>3</v>
      </c>
      <c r="C290" s="444" t="s">
        <v>219</v>
      </c>
      <c r="E290" s="240">
        <f t="shared" ref="E290:P290" si="117">E1036</f>
        <v>15</v>
      </c>
      <c r="F290" s="240">
        <f t="shared" si="117"/>
        <v>15</v>
      </c>
      <c r="G290" s="240">
        <f t="shared" si="117"/>
        <v>15</v>
      </c>
      <c r="H290" s="240">
        <f t="shared" si="117"/>
        <v>15</v>
      </c>
      <c r="I290" s="240">
        <f t="shared" si="117"/>
        <v>15</v>
      </c>
      <c r="J290" s="240">
        <f t="shared" si="117"/>
        <v>15</v>
      </c>
      <c r="K290" s="240">
        <f t="shared" si="117"/>
        <v>15</v>
      </c>
      <c r="L290" s="240">
        <f t="shared" si="117"/>
        <v>15</v>
      </c>
      <c r="M290" s="240">
        <f t="shared" si="117"/>
        <v>15</v>
      </c>
      <c r="N290" s="240">
        <f t="shared" si="117"/>
        <v>15</v>
      </c>
      <c r="O290" s="240">
        <f t="shared" si="117"/>
        <v>15</v>
      </c>
      <c r="P290" s="240">
        <f t="shared" si="117"/>
        <v>15</v>
      </c>
      <c r="Q290" s="240">
        <f>SUM(E290:P290)</f>
        <v>180</v>
      </c>
    </row>
    <row r="291" spans="1:17" x14ac:dyDescent="0.2">
      <c r="A291" s="222">
        <f>A290+1</f>
        <v>4</v>
      </c>
      <c r="C291" s="444" t="s">
        <v>567</v>
      </c>
      <c r="E291" s="245">
        <f t="shared" ref="E291:P291" si="118">E1046</f>
        <v>17844.3</v>
      </c>
      <c r="F291" s="245">
        <f t="shared" si="118"/>
        <v>16829.3</v>
      </c>
      <c r="G291" s="245">
        <f t="shared" si="118"/>
        <v>19051.3</v>
      </c>
      <c r="H291" s="245">
        <f t="shared" si="118"/>
        <v>14067.2</v>
      </c>
      <c r="I291" s="245">
        <f t="shared" si="118"/>
        <v>13118.3</v>
      </c>
      <c r="J291" s="245">
        <f t="shared" si="118"/>
        <v>8875.7000000000007</v>
      </c>
      <c r="K291" s="245">
        <f t="shared" si="118"/>
        <v>8048.4</v>
      </c>
      <c r="L291" s="245">
        <f t="shared" si="118"/>
        <v>9066.7999999999993</v>
      </c>
      <c r="M291" s="245">
        <f t="shared" si="118"/>
        <v>9786.2999999999993</v>
      </c>
      <c r="N291" s="245">
        <f t="shared" si="118"/>
        <v>10096.700000000001</v>
      </c>
      <c r="O291" s="245">
        <f t="shared" si="118"/>
        <v>12703</v>
      </c>
      <c r="P291" s="245">
        <f t="shared" si="118"/>
        <v>14980.599999999999</v>
      </c>
      <c r="Q291" s="245">
        <f>SUM(E291:P291)</f>
        <v>154467.9</v>
      </c>
    </row>
    <row r="292" spans="1:17" x14ac:dyDescent="0.2">
      <c r="A292" s="222">
        <f>A291+1</f>
        <v>5</v>
      </c>
      <c r="C292" s="444" t="s">
        <v>221</v>
      </c>
      <c r="E292" s="427">
        <f t="shared" ref="E292:P292" si="119">E1054</f>
        <v>30796.359999999997</v>
      </c>
      <c r="F292" s="427">
        <f t="shared" si="119"/>
        <v>29309.859999999997</v>
      </c>
      <c r="G292" s="427">
        <f t="shared" si="119"/>
        <v>33019.710000000006</v>
      </c>
      <c r="H292" s="427">
        <f t="shared" si="119"/>
        <v>25233.559999999998</v>
      </c>
      <c r="I292" s="427">
        <f t="shared" si="119"/>
        <v>23458.84</v>
      </c>
      <c r="J292" s="427">
        <f t="shared" si="119"/>
        <v>16407.010000000002</v>
      </c>
      <c r="K292" s="427">
        <f t="shared" si="119"/>
        <v>15157.99</v>
      </c>
      <c r="L292" s="427">
        <f t="shared" si="119"/>
        <v>16877.68</v>
      </c>
      <c r="M292" s="427">
        <f t="shared" si="119"/>
        <v>17953.940000000002</v>
      </c>
      <c r="N292" s="427">
        <f t="shared" si="119"/>
        <v>18532.569999999996</v>
      </c>
      <c r="O292" s="427">
        <f t="shared" si="119"/>
        <v>22800.38</v>
      </c>
      <c r="P292" s="427">
        <f t="shared" si="119"/>
        <v>26513.289999999997</v>
      </c>
      <c r="Q292" s="427">
        <f>SUM(E292:P292)</f>
        <v>276061.19</v>
      </c>
    </row>
    <row r="293" spans="1:17" x14ac:dyDescent="0.2">
      <c r="A293" s="222">
        <f>A292+1</f>
        <v>6</v>
      </c>
      <c r="C293" s="444" t="s">
        <v>222</v>
      </c>
      <c r="E293" s="427">
        <f t="shared" ref="E293:P293" si="120">E1056</f>
        <v>0</v>
      </c>
      <c r="F293" s="427">
        <f t="shared" si="120"/>
        <v>0</v>
      </c>
      <c r="G293" s="427">
        <f t="shared" si="120"/>
        <v>0</v>
      </c>
      <c r="H293" s="427">
        <f t="shared" si="120"/>
        <v>0</v>
      </c>
      <c r="I293" s="427">
        <f t="shared" si="120"/>
        <v>0</v>
      </c>
      <c r="J293" s="427">
        <f t="shared" si="120"/>
        <v>0</v>
      </c>
      <c r="K293" s="427">
        <f t="shared" si="120"/>
        <v>0</v>
      </c>
      <c r="L293" s="427">
        <f t="shared" si="120"/>
        <v>0</v>
      </c>
      <c r="M293" s="427">
        <f t="shared" si="120"/>
        <v>0</v>
      </c>
      <c r="N293" s="427">
        <f t="shared" si="120"/>
        <v>0</v>
      </c>
      <c r="O293" s="427">
        <f t="shared" si="120"/>
        <v>0</v>
      </c>
      <c r="P293" s="427">
        <f t="shared" si="120"/>
        <v>0</v>
      </c>
      <c r="Q293" s="427">
        <f>SUM(E293:P293)</f>
        <v>0</v>
      </c>
    </row>
    <row r="294" spans="1:17" x14ac:dyDescent="0.2">
      <c r="A294" s="446">
        <f>A293+1</f>
        <v>7</v>
      </c>
      <c r="B294" s="447"/>
      <c r="C294" s="448" t="s">
        <v>568</v>
      </c>
      <c r="D294" s="449"/>
      <c r="E294" s="450">
        <f t="shared" ref="E294:P294" si="121">E1058</f>
        <v>30796.359999999997</v>
      </c>
      <c r="F294" s="450">
        <f t="shared" si="121"/>
        <v>29309.859999999997</v>
      </c>
      <c r="G294" s="450">
        <f t="shared" si="121"/>
        <v>33019.710000000006</v>
      </c>
      <c r="H294" s="450">
        <f t="shared" si="121"/>
        <v>25233.559999999998</v>
      </c>
      <c r="I294" s="450">
        <f t="shared" si="121"/>
        <v>23458.84</v>
      </c>
      <c r="J294" s="450">
        <f t="shared" si="121"/>
        <v>16407.010000000002</v>
      </c>
      <c r="K294" s="450">
        <f t="shared" si="121"/>
        <v>15157.99</v>
      </c>
      <c r="L294" s="450">
        <f t="shared" si="121"/>
        <v>16877.68</v>
      </c>
      <c r="M294" s="450">
        <f t="shared" si="121"/>
        <v>17953.940000000002</v>
      </c>
      <c r="N294" s="450">
        <f t="shared" si="121"/>
        <v>18532.569999999996</v>
      </c>
      <c r="O294" s="450">
        <f t="shared" si="121"/>
        <v>22800.38</v>
      </c>
      <c r="P294" s="450">
        <f t="shared" si="121"/>
        <v>26513.289999999997</v>
      </c>
      <c r="Q294" s="450">
        <f>SUM(E294:P294)</f>
        <v>276061.19</v>
      </c>
    </row>
    <row r="295" spans="1:17" x14ac:dyDescent="0.2">
      <c r="G295" s="290"/>
      <c r="Q295" s="290"/>
    </row>
    <row r="296" spans="1:17" x14ac:dyDescent="0.2">
      <c r="A296" s="222">
        <f>A294+1</f>
        <v>8</v>
      </c>
      <c r="B296" s="219" t="str">
        <f>Input!A48</f>
        <v>DS3</v>
      </c>
      <c r="C296" s="219" t="str">
        <f>'Sch M 2.1'!B43</f>
        <v>GTS Main Line Service - Industrial</v>
      </c>
      <c r="G296" s="290"/>
      <c r="Q296" s="290"/>
    </row>
    <row r="297" spans="1:17" x14ac:dyDescent="0.2">
      <c r="A297" s="222">
        <f>A296+1</f>
        <v>9</v>
      </c>
      <c r="C297" s="444" t="s">
        <v>219</v>
      </c>
      <c r="E297" s="240">
        <f t="shared" ref="E297:P297" si="122">E1082</f>
        <v>3</v>
      </c>
      <c r="F297" s="240">
        <f t="shared" si="122"/>
        <v>3</v>
      </c>
      <c r="G297" s="240">
        <f t="shared" si="122"/>
        <v>3</v>
      </c>
      <c r="H297" s="240">
        <f t="shared" si="122"/>
        <v>3</v>
      </c>
      <c r="I297" s="240">
        <f t="shared" si="122"/>
        <v>3</v>
      </c>
      <c r="J297" s="240">
        <f t="shared" si="122"/>
        <v>3</v>
      </c>
      <c r="K297" s="240">
        <f t="shared" si="122"/>
        <v>3</v>
      </c>
      <c r="L297" s="240">
        <f t="shared" si="122"/>
        <v>3</v>
      </c>
      <c r="M297" s="240">
        <f t="shared" si="122"/>
        <v>3</v>
      </c>
      <c r="N297" s="240">
        <f t="shared" si="122"/>
        <v>3</v>
      </c>
      <c r="O297" s="240">
        <f t="shared" si="122"/>
        <v>3</v>
      </c>
      <c r="P297" s="240">
        <f t="shared" si="122"/>
        <v>3</v>
      </c>
      <c r="Q297" s="240">
        <f>SUM(E297:P297)</f>
        <v>36</v>
      </c>
    </row>
    <row r="298" spans="1:17" x14ac:dyDescent="0.2">
      <c r="A298" s="222">
        <f>A297+1</f>
        <v>10</v>
      </c>
      <c r="C298" s="444" t="s">
        <v>567</v>
      </c>
      <c r="E298" s="245">
        <f t="shared" ref="E298:P298" si="123">E1086</f>
        <v>58289</v>
      </c>
      <c r="F298" s="245">
        <f t="shared" si="123"/>
        <v>56724</v>
      </c>
      <c r="G298" s="245">
        <f t="shared" si="123"/>
        <v>56724</v>
      </c>
      <c r="H298" s="245">
        <f t="shared" si="123"/>
        <v>57213</v>
      </c>
      <c r="I298" s="245">
        <f t="shared" si="123"/>
        <v>57995</v>
      </c>
      <c r="J298" s="245">
        <f t="shared" si="123"/>
        <v>58484</v>
      </c>
      <c r="K298" s="245">
        <f t="shared" si="123"/>
        <v>55942</v>
      </c>
      <c r="L298" s="245">
        <f t="shared" si="123"/>
        <v>54866</v>
      </c>
      <c r="M298" s="245">
        <f t="shared" si="123"/>
        <v>55746</v>
      </c>
      <c r="N298" s="245">
        <f t="shared" si="123"/>
        <v>58093</v>
      </c>
      <c r="O298" s="245">
        <f t="shared" si="123"/>
        <v>57604</v>
      </c>
      <c r="P298" s="245">
        <f t="shared" si="123"/>
        <v>53301</v>
      </c>
      <c r="Q298" s="245">
        <f>SUM(E298:P298)</f>
        <v>680981</v>
      </c>
    </row>
    <row r="299" spans="1:17" x14ac:dyDescent="0.2">
      <c r="A299" s="222">
        <f>A298+1</f>
        <v>11</v>
      </c>
      <c r="C299" s="444" t="s">
        <v>221</v>
      </c>
      <c r="E299" s="427">
        <f t="shared" ref="E299:P299" si="124">E1089</f>
        <v>5768.9</v>
      </c>
      <c r="F299" s="427">
        <f t="shared" si="124"/>
        <v>5634.62</v>
      </c>
      <c r="G299" s="427">
        <f t="shared" si="124"/>
        <v>5634.62</v>
      </c>
      <c r="H299" s="427">
        <f t="shared" si="124"/>
        <v>5676.58</v>
      </c>
      <c r="I299" s="427">
        <f t="shared" si="124"/>
        <v>5743.67</v>
      </c>
      <c r="J299" s="427">
        <f t="shared" si="124"/>
        <v>5785.63</v>
      </c>
      <c r="K299" s="427">
        <f t="shared" si="124"/>
        <v>5567.5199999999995</v>
      </c>
      <c r="L299" s="427">
        <f t="shared" si="124"/>
        <v>5475.2</v>
      </c>
      <c r="M299" s="427">
        <f t="shared" si="124"/>
        <v>5550.71</v>
      </c>
      <c r="N299" s="427">
        <f t="shared" si="124"/>
        <v>5752.08</v>
      </c>
      <c r="O299" s="427">
        <f t="shared" si="124"/>
        <v>5710.12</v>
      </c>
      <c r="P299" s="427">
        <f t="shared" si="124"/>
        <v>5340.9299999999994</v>
      </c>
      <c r="Q299" s="427">
        <f>SUM(E299:P299)</f>
        <v>67640.579999999987</v>
      </c>
    </row>
    <row r="300" spans="1:17" x14ac:dyDescent="0.2">
      <c r="A300" s="222">
        <f>A299+1</f>
        <v>12</v>
      </c>
      <c r="C300" s="444" t="s">
        <v>222</v>
      </c>
      <c r="E300" s="427">
        <f t="shared" ref="E300:P300" si="125">E1091</f>
        <v>0</v>
      </c>
      <c r="F300" s="427">
        <f t="shared" si="125"/>
        <v>0</v>
      </c>
      <c r="G300" s="427">
        <f t="shared" si="125"/>
        <v>0</v>
      </c>
      <c r="H300" s="427">
        <f t="shared" si="125"/>
        <v>0</v>
      </c>
      <c r="I300" s="427">
        <f t="shared" si="125"/>
        <v>0</v>
      </c>
      <c r="J300" s="427">
        <f t="shared" si="125"/>
        <v>0</v>
      </c>
      <c r="K300" s="427">
        <f t="shared" si="125"/>
        <v>0</v>
      </c>
      <c r="L300" s="427">
        <f t="shared" si="125"/>
        <v>0</v>
      </c>
      <c r="M300" s="427">
        <f t="shared" si="125"/>
        <v>0</v>
      </c>
      <c r="N300" s="427">
        <f t="shared" si="125"/>
        <v>0</v>
      </c>
      <c r="O300" s="427">
        <f t="shared" si="125"/>
        <v>0</v>
      </c>
      <c r="P300" s="427">
        <f t="shared" si="125"/>
        <v>0</v>
      </c>
      <c r="Q300" s="427">
        <f>SUM(E300:P300)</f>
        <v>0</v>
      </c>
    </row>
    <row r="301" spans="1:17" x14ac:dyDescent="0.2">
      <c r="A301" s="446">
        <f>A300+1</f>
        <v>13</v>
      </c>
      <c r="B301" s="447"/>
      <c r="C301" s="448" t="s">
        <v>568</v>
      </c>
      <c r="D301" s="449"/>
      <c r="E301" s="450">
        <f t="shared" ref="E301:P301" si="126">E1093</f>
        <v>5768.9</v>
      </c>
      <c r="F301" s="450">
        <f t="shared" si="126"/>
        <v>5634.62</v>
      </c>
      <c r="G301" s="450">
        <f t="shared" si="126"/>
        <v>5634.62</v>
      </c>
      <c r="H301" s="450">
        <f t="shared" si="126"/>
        <v>5676.58</v>
      </c>
      <c r="I301" s="450">
        <f t="shared" si="126"/>
        <v>5743.67</v>
      </c>
      <c r="J301" s="450">
        <f t="shared" si="126"/>
        <v>5785.63</v>
      </c>
      <c r="K301" s="450">
        <f t="shared" si="126"/>
        <v>5567.5199999999995</v>
      </c>
      <c r="L301" s="450">
        <f t="shared" si="126"/>
        <v>5475.2</v>
      </c>
      <c r="M301" s="450">
        <f t="shared" si="126"/>
        <v>5550.71</v>
      </c>
      <c r="N301" s="450">
        <f t="shared" si="126"/>
        <v>5752.08</v>
      </c>
      <c r="O301" s="450">
        <f t="shared" si="126"/>
        <v>5710.12</v>
      </c>
      <c r="P301" s="450">
        <f t="shared" si="126"/>
        <v>5340.9299999999994</v>
      </c>
      <c r="Q301" s="450">
        <f>SUM(E301:P301)</f>
        <v>67640.579999999987</v>
      </c>
    </row>
    <row r="303" spans="1:17" x14ac:dyDescent="0.2">
      <c r="A303" s="222">
        <f>A301+1</f>
        <v>14</v>
      </c>
      <c r="B303" s="219" t="str">
        <f>Input!A49</f>
        <v>FX1</v>
      </c>
      <c r="C303" s="219" t="str">
        <f>'Sch M 2.1'!B44</f>
        <v>GTS Flex Rate - Commercial</v>
      </c>
      <c r="G303" s="290"/>
      <c r="Q303" s="290"/>
    </row>
    <row r="304" spans="1:17" x14ac:dyDescent="0.2">
      <c r="A304" s="222">
        <f>A303+1</f>
        <v>15</v>
      </c>
      <c r="C304" s="444" t="s">
        <v>219</v>
      </c>
      <c r="E304" s="240">
        <f t="shared" ref="E304:P304" si="127">E1100</f>
        <v>1</v>
      </c>
      <c r="F304" s="240">
        <f t="shared" si="127"/>
        <v>1</v>
      </c>
      <c r="G304" s="240">
        <f t="shared" si="127"/>
        <v>1</v>
      </c>
      <c r="H304" s="240">
        <f t="shared" si="127"/>
        <v>1</v>
      </c>
      <c r="I304" s="240">
        <f t="shared" si="127"/>
        <v>1</v>
      </c>
      <c r="J304" s="240">
        <f t="shared" si="127"/>
        <v>1</v>
      </c>
      <c r="K304" s="240">
        <f t="shared" si="127"/>
        <v>1</v>
      </c>
      <c r="L304" s="240">
        <f t="shared" si="127"/>
        <v>1</v>
      </c>
      <c r="M304" s="240">
        <f t="shared" si="127"/>
        <v>1</v>
      </c>
      <c r="N304" s="240">
        <f t="shared" si="127"/>
        <v>1</v>
      </c>
      <c r="O304" s="240">
        <f t="shared" si="127"/>
        <v>1</v>
      </c>
      <c r="P304" s="240">
        <f t="shared" si="127"/>
        <v>1</v>
      </c>
      <c r="Q304" s="240">
        <f>SUM(E304:P304)</f>
        <v>12</v>
      </c>
    </row>
    <row r="305" spans="1:17" x14ac:dyDescent="0.2">
      <c r="A305" s="222">
        <f>A304+1</f>
        <v>16</v>
      </c>
      <c r="C305" s="444" t="s">
        <v>567</v>
      </c>
      <c r="E305" s="245">
        <f t="shared" ref="E305:P305" si="128">E1104</f>
        <v>74328</v>
      </c>
      <c r="F305" s="245">
        <f t="shared" si="128"/>
        <v>58680</v>
      </c>
      <c r="G305" s="245">
        <f t="shared" si="128"/>
        <v>70416</v>
      </c>
      <c r="H305" s="245">
        <f t="shared" si="128"/>
        <v>34230</v>
      </c>
      <c r="I305" s="245">
        <f t="shared" si="128"/>
        <v>29340</v>
      </c>
      <c r="J305" s="245">
        <f t="shared" si="128"/>
        <v>29340</v>
      </c>
      <c r="K305" s="245">
        <f t="shared" si="128"/>
        <v>29340</v>
      </c>
      <c r="L305" s="245">
        <f t="shared" si="128"/>
        <v>29340</v>
      </c>
      <c r="M305" s="245">
        <f t="shared" si="128"/>
        <v>34230</v>
      </c>
      <c r="N305" s="245">
        <f t="shared" si="128"/>
        <v>39120</v>
      </c>
      <c r="O305" s="245">
        <f t="shared" si="128"/>
        <v>49878</v>
      </c>
      <c r="P305" s="245">
        <f t="shared" si="128"/>
        <v>63570</v>
      </c>
      <c r="Q305" s="245">
        <f>SUM(E305:P305)</f>
        <v>541812</v>
      </c>
    </row>
    <row r="306" spans="1:17" x14ac:dyDescent="0.2">
      <c r="A306" s="222">
        <f>A305+1</f>
        <v>17</v>
      </c>
      <c r="C306" s="444" t="s">
        <v>221</v>
      </c>
      <c r="E306" s="427">
        <f t="shared" ref="E306:P306" si="129">E1107</f>
        <v>30050.87</v>
      </c>
      <c r="F306" s="427">
        <f t="shared" si="129"/>
        <v>23948.15</v>
      </c>
      <c r="G306" s="427">
        <f t="shared" si="129"/>
        <v>28525.190000000002</v>
      </c>
      <c r="H306" s="427">
        <f t="shared" si="129"/>
        <v>14412.650000000001</v>
      </c>
      <c r="I306" s="427">
        <f t="shared" si="129"/>
        <v>12505.550000000001</v>
      </c>
      <c r="J306" s="427">
        <f t="shared" si="129"/>
        <v>12505.550000000001</v>
      </c>
      <c r="K306" s="427">
        <f t="shared" si="129"/>
        <v>12505.550000000001</v>
      </c>
      <c r="L306" s="427">
        <f t="shared" si="129"/>
        <v>12505.550000000001</v>
      </c>
      <c r="M306" s="427">
        <f t="shared" si="129"/>
        <v>14412.650000000001</v>
      </c>
      <c r="N306" s="427">
        <f t="shared" si="129"/>
        <v>16319.75</v>
      </c>
      <c r="O306" s="427">
        <f t="shared" si="129"/>
        <v>20515.37</v>
      </c>
      <c r="P306" s="427">
        <f t="shared" si="129"/>
        <v>25855.25</v>
      </c>
      <c r="Q306" s="427">
        <f>SUM(E306:P306)</f>
        <v>224062.07999999999</v>
      </c>
    </row>
    <row r="307" spans="1:17" x14ac:dyDescent="0.2">
      <c r="A307" s="222">
        <f>A306+1</f>
        <v>18</v>
      </c>
      <c r="C307" s="444" t="s">
        <v>222</v>
      </c>
      <c r="E307" s="427">
        <f t="shared" ref="E307:P307" si="130">E1109</f>
        <v>0</v>
      </c>
      <c r="F307" s="427">
        <f t="shared" si="130"/>
        <v>0</v>
      </c>
      <c r="G307" s="427">
        <f t="shared" si="130"/>
        <v>0</v>
      </c>
      <c r="H307" s="427">
        <f t="shared" si="130"/>
        <v>0</v>
      </c>
      <c r="I307" s="427">
        <f t="shared" si="130"/>
        <v>0</v>
      </c>
      <c r="J307" s="427">
        <f t="shared" si="130"/>
        <v>0</v>
      </c>
      <c r="K307" s="427">
        <f t="shared" si="130"/>
        <v>0</v>
      </c>
      <c r="L307" s="427">
        <f t="shared" si="130"/>
        <v>0</v>
      </c>
      <c r="M307" s="427">
        <f t="shared" si="130"/>
        <v>0</v>
      </c>
      <c r="N307" s="427">
        <f t="shared" si="130"/>
        <v>0</v>
      </c>
      <c r="O307" s="427">
        <f t="shared" si="130"/>
        <v>0</v>
      </c>
      <c r="P307" s="427">
        <f t="shared" si="130"/>
        <v>0</v>
      </c>
      <c r="Q307" s="427">
        <f>SUM(E307:P307)</f>
        <v>0</v>
      </c>
    </row>
    <row r="308" spans="1:17" x14ac:dyDescent="0.2">
      <c r="A308" s="446">
        <f>A307+1</f>
        <v>19</v>
      </c>
      <c r="B308" s="447"/>
      <c r="C308" s="448" t="s">
        <v>568</v>
      </c>
      <c r="D308" s="449"/>
      <c r="E308" s="450">
        <f t="shared" ref="E308:P308" si="131">E1111</f>
        <v>30050.87</v>
      </c>
      <c r="F308" s="450">
        <f t="shared" si="131"/>
        <v>23948.15</v>
      </c>
      <c r="G308" s="450">
        <f t="shared" si="131"/>
        <v>28525.190000000002</v>
      </c>
      <c r="H308" s="450">
        <f t="shared" si="131"/>
        <v>14412.650000000001</v>
      </c>
      <c r="I308" s="450">
        <f t="shared" si="131"/>
        <v>12505.550000000001</v>
      </c>
      <c r="J308" s="450">
        <f t="shared" si="131"/>
        <v>12505.550000000001</v>
      </c>
      <c r="K308" s="450">
        <f t="shared" si="131"/>
        <v>12505.550000000001</v>
      </c>
      <c r="L308" s="450">
        <f t="shared" si="131"/>
        <v>12505.550000000001</v>
      </c>
      <c r="M308" s="450">
        <f t="shared" si="131"/>
        <v>14412.650000000001</v>
      </c>
      <c r="N308" s="450">
        <f t="shared" si="131"/>
        <v>16319.75</v>
      </c>
      <c r="O308" s="450">
        <f t="shared" si="131"/>
        <v>20515.37</v>
      </c>
      <c r="P308" s="450">
        <f t="shared" si="131"/>
        <v>25855.25</v>
      </c>
      <c r="Q308" s="450">
        <f>SUM(E308:P308)</f>
        <v>224062.07999999999</v>
      </c>
    </row>
    <row r="309" spans="1:17" x14ac:dyDescent="0.2">
      <c r="A309" s="302"/>
      <c r="B309" s="301"/>
      <c r="C309" s="455"/>
      <c r="D309" s="300"/>
      <c r="E309" s="415"/>
      <c r="F309" s="415"/>
      <c r="G309" s="415"/>
      <c r="H309" s="415"/>
      <c r="I309" s="415"/>
      <c r="J309" s="415"/>
      <c r="K309" s="415"/>
      <c r="L309" s="415"/>
      <c r="M309" s="415"/>
      <c r="N309" s="415"/>
      <c r="O309" s="415"/>
      <c r="P309" s="415"/>
      <c r="Q309" s="415"/>
    </row>
    <row r="310" spans="1:17" x14ac:dyDescent="0.2">
      <c r="A310" s="222">
        <f>A308+1</f>
        <v>20</v>
      </c>
      <c r="B310" s="219" t="str">
        <f>Input!A50</f>
        <v>FX2</v>
      </c>
      <c r="C310" s="219" t="str">
        <f>'Sch M 2.1'!B45</f>
        <v>GTS Flex Rate - Commercial</v>
      </c>
      <c r="G310" s="290"/>
      <c r="Q310" s="290"/>
    </row>
    <row r="311" spans="1:17" x14ac:dyDescent="0.2">
      <c r="A311" s="222">
        <f>A310+1</f>
        <v>21</v>
      </c>
      <c r="C311" s="444" t="s">
        <v>219</v>
      </c>
      <c r="E311" s="240">
        <f t="shared" ref="E311:P311" si="132">E1118</f>
        <v>1</v>
      </c>
      <c r="F311" s="240">
        <f t="shared" si="132"/>
        <v>1</v>
      </c>
      <c r="G311" s="240">
        <f t="shared" si="132"/>
        <v>1</v>
      </c>
      <c r="H311" s="240">
        <f t="shared" si="132"/>
        <v>1</v>
      </c>
      <c r="I311" s="240">
        <f t="shared" si="132"/>
        <v>1</v>
      </c>
      <c r="J311" s="240">
        <f t="shared" si="132"/>
        <v>1</v>
      </c>
      <c r="K311" s="240">
        <f t="shared" si="132"/>
        <v>1</v>
      </c>
      <c r="L311" s="240">
        <f t="shared" si="132"/>
        <v>1</v>
      </c>
      <c r="M311" s="240">
        <f t="shared" si="132"/>
        <v>1</v>
      </c>
      <c r="N311" s="240">
        <f t="shared" si="132"/>
        <v>1</v>
      </c>
      <c r="O311" s="240">
        <f t="shared" si="132"/>
        <v>1</v>
      </c>
      <c r="P311" s="240">
        <f t="shared" si="132"/>
        <v>1</v>
      </c>
      <c r="Q311" s="240">
        <f>SUM(E311:P311)</f>
        <v>12</v>
      </c>
    </row>
    <row r="312" spans="1:17" x14ac:dyDescent="0.2">
      <c r="A312" s="222">
        <f>A311+1</f>
        <v>22</v>
      </c>
      <c r="C312" s="444" t="s">
        <v>567</v>
      </c>
      <c r="E312" s="245">
        <f t="shared" ref="E312:P312" si="133">E1122</f>
        <v>44010</v>
      </c>
      <c r="F312" s="245">
        <f t="shared" si="133"/>
        <v>56724</v>
      </c>
      <c r="G312" s="245">
        <f t="shared" si="133"/>
        <v>33252</v>
      </c>
      <c r="H312" s="245">
        <f t="shared" si="133"/>
        <v>47922</v>
      </c>
      <c r="I312" s="245">
        <f t="shared" si="133"/>
        <v>37164</v>
      </c>
      <c r="J312" s="245">
        <f t="shared" si="133"/>
        <v>37164</v>
      </c>
      <c r="K312" s="245">
        <f t="shared" si="133"/>
        <v>39120</v>
      </c>
      <c r="L312" s="245">
        <f t="shared" si="133"/>
        <v>37164</v>
      </c>
      <c r="M312" s="245">
        <f t="shared" si="133"/>
        <v>41076</v>
      </c>
      <c r="N312" s="245">
        <f t="shared" si="133"/>
        <v>50856</v>
      </c>
      <c r="O312" s="245">
        <f t="shared" si="133"/>
        <v>54768</v>
      </c>
      <c r="P312" s="245">
        <f t="shared" si="133"/>
        <v>54768</v>
      </c>
      <c r="Q312" s="245">
        <f>SUM(E312:P312)</f>
        <v>533988</v>
      </c>
    </row>
    <row r="313" spans="1:17" x14ac:dyDescent="0.2">
      <c r="A313" s="222">
        <f>A312+1</f>
        <v>23</v>
      </c>
      <c r="C313" s="444" t="s">
        <v>221</v>
      </c>
      <c r="E313" s="427">
        <f t="shared" ref="E313:P313" si="134">E1125</f>
        <v>18226.850000000002</v>
      </c>
      <c r="F313" s="427">
        <f t="shared" si="134"/>
        <v>23185.31</v>
      </c>
      <c r="G313" s="427">
        <f t="shared" si="134"/>
        <v>14031.230000000001</v>
      </c>
      <c r="H313" s="427">
        <f t="shared" si="134"/>
        <v>19752.530000000002</v>
      </c>
      <c r="I313" s="427">
        <f t="shared" si="134"/>
        <v>15556.91</v>
      </c>
      <c r="J313" s="427">
        <f t="shared" si="134"/>
        <v>15556.91</v>
      </c>
      <c r="K313" s="427">
        <f t="shared" si="134"/>
        <v>16319.75</v>
      </c>
      <c r="L313" s="427">
        <f t="shared" si="134"/>
        <v>15556.91</v>
      </c>
      <c r="M313" s="427">
        <f t="shared" si="134"/>
        <v>17082.59</v>
      </c>
      <c r="N313" s="427">
        <f t="shared" si="134"/>
        <v>20896.79</v>
      </c>
      <c r="O313" s="427">
        <f t="shared" si="134"/>
        <v>22422.47</v>
      </c>
      <c r="P313" s="427">
        <f t="shared" si="134"/>
        <v>22422.47</v>
      </c>
      <c r="Q313" s="427">
        <f>SUM(E313:P313)</f>
        <v>221010.72000000003</v>
      </c>
    </row>
    <row r="314" spans="1:17" x14ac:dyDescent="0.2">
      <c r="A314" s="222">
        <f>A313+1</f>
        <v>24</v>
      </c>
      <c r="C314" s="444" t="s">
        <v>222</v>
      </c>
      <c r="E314" s="427">
        <f t="shared" ref="E314:P314" si="135">E1127</f>
        <v>0</v>
      </c>
      <c r="F314" s="427">
        <f t="shared" si="135"/>
        <v>0</v>
      </c>
      <c r="G314" s="427">
        <f t="shared" si="135"/>
        <v>0</v>
      </c>
      <c r="H314" s="427">
        <f t="shared" si="135"/>
        <v>0</v>
      </c>
      <c r="I314" s="427">
        <f t="shared" si="135"/>
        <v>0</v>
      </c>
      <c r="J314" s="427">
        <f t="shared" si="135"/>
        <v>0</v>
      </c>
      <c r="K314" s="427">
        <f t="shared" si="135"/>
        <v>0</v>
      </c>
      <c r="L314" s="427">
        <f t="shared" si="135"/>
        <v>0</v>
      </c>
      <c r="M314" s="427">
        <f t="shared" si="135"/>
        <v>0</v>
      </c>
      <c r="N314" s="427">
        <f t="shared" si="135"/>
        <v>0</v>
      </c>
      <c r="O314" s="427">
        <f t="shared" si="135"/>
        <v>0</v>
      </c>
      <c r="P314" s="427">
        <f t="shared" si="135"/>
        <v>0</v>
      </c>
      <c r="Q314" s="427">
        <f>SUM(E314:P314)</f>
        <v>0</v>
      </c>
    </row>
    <row r="315" spans="1:17" x14ac:dyDescent="0.2">
      <c r="A315" s="446">
        <f>A314+1</f>
        <v>25</v>
      </c>
      <c r="B315" s="447"/>
      <c r="C315" s="448" t="s">
        <v>568</v>
      </c>
      <c r="D315" s="449"/>
      <c r="E315" s="450">
        <f t="shared" ref="E315:P315" si="136">E1129</f>
        <v>18226.850000000002</v>
      </c>
      <c r="F315" s="450">
        <f t="shared" si="136"/>
        <v>23185.31</v>
      </c>
      <c r="G315" s="450">
        <f t="shared" si="136"/>
        <v>14031.230000000001</v>
      </c>
      <c r="H315" s="450">
        <f t="shared" si="136"/>
        <v>19752.530000000002</v>
      </c>
      <c r="I315" s="450">
        <f t="shared" si="136"/>
        <v>15556.91</v>
      </c>
      <c r="J315" s="450">
        <f t="shared" si="136"/>
        <v>15556.91</v>
      </c>
      <c r="K315" s="450">
        <f t="shared" si="136"/>
        <v>16319.75</v>
      </c>
      <c r="L315" s="450">
        <f t="shared" si="136"/>
        <v>15556.91</v>
      </c>
      <c r="M315" s="450">
        <f t="shared" si="136"/>
        <v>17082.59</v>
      </c>
      <c r="N315" s="450">
        <f t="shared" si="136"/>
        <v>20896.79</v>
      </c>
      <c r="O315" s="450">
        <f t="shared" si="136"/>
        <v>22422.47</v>
      </c>
      <c r="P315" s="450">
        <f t="shared" si="136"/>
        <v>22422.47</v>
      </c>
      <c r="Q315" s="450">
        <f>SUM(E315:P315)</f>
        <v>221010.72000000003</v>
      </c>
    </row>
    <row r="317" spans="1:17" x14ac:dyDescent="0.2">
      <c r="A317" s="222">
        <f>A315+1</f>
        <v>26</v>
      </c>
      <c r="B317" s="219" t="str">
        <f>Input!A51</f>
        <v>FX5</v>
      </c>
      <c r="C317" s="219" t="str">
        <f>'Sch M 2.1'!B46</f>
        <v>GTS Flex Rate - Industrial</v>
      </c>
      <c r="G317" s="290"/>
      <c r="Q317" s="290"/>
    </row>
    <row r="318" spans="1:17" x14ac:dyDescent="0.2">
      <c r="A318" s="222">
        <f>A317+1</f>
        <v>27</v>
      </c>
      <c r="C318" s="444" t="s">
        <v>219</v>
      </c>
      <c r="E318" s="240">
        <f t="shared" ref="E318:P318" si="137">E1152</f>
        <v>3</v>
      </c>
      <c r="F318" s="240">
        <f t="shared" si="137"/>
        <v>3</v>
      </c>
      <c r="G318" s="240">
        <f t="shared" si="137"/>
        <v>3</v>
      </c>
      <c r="H318" s="240">
        <f t="shared" si="137"/>
        <v>3</v>
      </c>
      <c r="I318" s="240">
        <f t="shared" si="137"/>
        <v>3</v>
      </c>
      <c r="J318" s="240">
        <f t="shared" si="137"/>
        <v>3</v>
      </c>
      <c r="K318" s="240">
        <f t="shared" si="137"/>
        <v>3</v>
      </c>
      <c r="L318" s="240">
        <f t="shared" si="137"/>
        <v>3</v>
      </c>
      <c r="M318" s="240">
        <f t="shared" si="137"/>
        <v>3</v>
      </c>
      <c r="N318" s="240">
        <f t="shared" si="137"/>
        <v>3</v>
      </c>
      <c r="O318" s="240">
        <f t="shared" si="137"/>
        <v>3</v>
      </c>
      <c r="P318" s="240">
        <f t="shared" si="137"/>
        <v>3</v>
      </c>
      <c r="Q318" s="240">
        <f>SUM(E318:P318)</f>
        <v>36</v>
      </c>
    </row>
    <row r="319" spans="1:17" x14ac:dyDescent="0.2">
      <c r="A319" s="222">
        <f>A318+1</f>
        <v>28</v>
      </c>
      <c r="C319" s="444" t="s">
        <v>567</v>
      </c>
      <c r="E319" s="245">
        <f t="shared" ref="E319:P319" si="138">E1156</f>
        <v>411738</v>
      </c>
      <c r="F319" s="245">
        <f t="shared" si="138"/>
        <v>369684</v>
      </c>
      <c r="G319" s="245">
        <f t="shared" si="138"/>
        <v>397068</v>
      </c>
      <c r="H319" s="245">
        <f t="shared" si="138"/>
        <v>381420</v>
      </c>
      <c r="I319" s="245">
        <f t="shared" si="138"/>
        <v>392178</v>
      </c>
      <c r="J319" s="245">
        <f t="shared" si="138"/>
        <v>381420</v>
      </c>
      <c r="K319" s="245">
        <f t="shared" si="138"/>
        <v>392178</v>
      </c>
      <c r="L319" s="245">
        <f t="shared" si="138"/>
        <v>392178</v>
      </c>
      <c r="M319" s="245">
        <f t="shared" si="138"/>
        <v>381420</v>
      </c>
      <c r="N319" s="245">
        <f t="shared" si="138"/>
        <v>397068</v>
      </c>
      <c r="O319" s="245">
        <f t="shared" si="138"/>
        <v>391200</v>
      </c>
      <c r="P319" s="245">
        <f t="shared" si="138"/>
        <v>401958</v>
      </c>
      <c r="Q319" s="245">
        <f>SUM(E319:P319)</f>
        <v>4689510</v>
      </c>
    </row>
    <row r="320" spans="1:17" x14ac:dyDescent="0.2">
      <c r="A320" s="222">
        <f>A319+1</f>
        <v>29</v>
      </c>
      <c r="C320" s="444" t="s">
        <v>221</v>
      </c>
      <c r="E320" s="427">
        <f t="shared" ref="E320:P320" si="139">E1159</f>
        <v>36094.82</v>
      </c>
      <c r="F320" s="427">
        <f t="shared" si="139"/>
        <v>32486.59</v>
      </c>
      <c r="G320" s="427">
        <f t="shared" si="139"/>
        <v>34836.129999999997</v>
      </c>
      <c r="H320" s="427">
        <f t="shared" si="139"/>
        <v>33493.54</v>
      </c>
      <c r="I320" s="427">
        <f t="shared" si="139"/>
        <v>34416.57</v>
      </c>
      <c r="J320" s="427">
        <f t="shared" si="139"/>
        <v>33493.54</v>
      </c>
      <c r="K320" s="427">
        <f t="shared" si="139"/>
        <v>34416.57</v>
      </c>
      <c r="L320" s="427">
        <f t="shared" si="139"/>
        <v>34416.57</v>
      </c>
      <c r="M320" s="427">
        <f t="shared" si="139"/>
        <v>33493.54</v>
      </c>
      <c r="N320" s="427">
        <f t="shared" si="139"/>
        <v>34836.129999999997</v>
      </c>
      <c r="O320" s="427">
        <f t="shared" si="139"/>
        <v>34332.659999999996</v>
      </c>
      <c r="P320" s="427">
        <f t="shared" si="139"/>
        <v>35255.699999999997</v>
      </c>
      <c r="Q320" s="427">
        <f>SUM(E320:P320)</f>
        <v>411572.36</v>
      </c>
    </row>
    <row r="321" spans="1:18" x14ac:dyDescent="0.2">
      <c r="A321" s="222">
        <f>A320+1</f>
        <v>30</v>
      </c>
      <c r="C321" s="444" t="s">
        <v>222</v>
      </c>
      <c r="E321" s="427">
        <f t="shared" ref="E321:P321" si="140">E1161</f>
        <v>0</v>
      </c>
      <c r="F321" s="427">
        <f t="shared" si="140"/>
        <v>0</v>
      </c>
      <c r="G321" s="427">
        <f t="shared" si="140"/>
        <v>0</v>
      </c>
      <c r="H321" s="427">
        <f t="shared" si="140"/>
        <v>0</v>
      </c>
      <c r="I321" s="427">
        <f t="shared" si="140"/>
        <v>0</v>
      </c>
      <c r="J321" s="427">
        <f t="shared" si="140"/>
        <v>0</v>
      </c>
      <c r="K321" s="427">
        <f t="shared" si="140"/>
        <v>0</v>
      </c>
      <c r="L321" s="427">
        <f t="shared" si="140"/>
        <v>0</v>
      </c>
      <c r="M321" s="427">
        <f t="shared" si="140"/>
        <v>0</v>
      </c>
      <c r="N321" s="427">
        <f t="shared" si="140"/>
        <v>0</v>
      </c>
      <c r="O321" s="427">
        <f t="shared" si="140"/>
        <v>0</v>
      </c>
      <c r="P321" s="427">
        <f t="shared" si="140"/>
        <v>0</v>
      </c>
      <c r="Q321" s="427">
        <f>SUM(E321:P321)</f>
        <v>0</v>
      </c>
    </row>
    <row r="322" spans="1:18" x14ac:dyDescent="0.2">
      <c r="A322" s="446">
        <f>A321+1</f>
        <v>31</v>
      </c>
      <c r="B322" s="447"/>
      <c r="C322" s="448" t="s">
        <v>568</v>
      </c>
      <c r="D322" s="449"/>
      <c r="E322" s="450">
        <f t="shared" ref="E322:P322" si="141">E1163</f>
        <v>36094.82</v>
      </c>
      <c r="F322" s="450">
        <f t="shared" si="141"/>
        <v>32486.59</v>
      </c>
      <c r="G322" s="450">
        <f t="shared" si="141"/>
        <v>34836.129999999997</v>
      </c>
      <c r="H322" s="450">
        <f t="shared" si="141"/>
        <v>33493.54</v>
      </c>
      <c r="I322" s="450">
        <f t="shared" si="141"/>
        <v>34416.57</v>
      </c>
      <c r="J322" s="450">
        <f t="shared" si="141"/>
        <v>33493.54</v>
      </c>
      <c r="K322" s="450">
        <f t="shared" si="141"/>
        <v>34416.57</v>
      </c>
      <c r="L322" s="450">
        <f t="shared" si="141"/>
        <v>34416.57</v>
      </c>
      <c r="M322" s="450">
        <f t="shared" si="141"/>
        <v>33493.54</v>
      </c>
      <c r="N322" s="450">
        <f t="shared" si="141"/>
        <v>34836.129999999997</v>
      </c>
      <c r="O322" s="450">
        <f t="shared" si="141"/>
        <v>34332.659999999996</v>
      </c>
      <c r="P322" s="450">
        <f t="shared" si="141"/>
        <v>35255.699999999997</v>
      </c>
      <c r="Q322" s="450">
        <f>SUM(E322:P322)</f>
        <v>411572.36</v>
      </c>
    </row>
    <row r="323" spans="1:18" x14ac:dyDescent="0.2">
      <c r="G323" s="290"/>
      <c r="Q323" s="290"/>
    </row>
    <row r="324" spans="1:18" x14ac:dyDescent="0.2">
      <c r="A324" s="222">
        <f>A322+1</f>
        <v>32</v>
      </c>
      <c r="B324" s="219" t="str">
        <f>Input!A52</f>
        <v>FX7</v>
      </c>
      <c r="C324" s="219" t="str">
        <f>'Sch M 2.1'!B47</f>
        <v>GTS Flex Rate - Industrial</v>
      </c>
      <c r="D324" s="286"/>
      <c r="E324" s="222"/>
      <c r="F324" s="288"/>
      <c r="G324" s="288"/>
      <c r="H324" s="288"/>
      <c r="I324" s="293"/>
      <c r="J324" s="288"/>
      <c r="K324" s="288"/>
      <c r="L324" s="288"/>
      <c r="M324" s="288"/>
      <c r="N324" s="288"/>
      <c r="O324" s="288"/>
      <c r="P324" s="288"/>
      <c r="Q324" s="288"/>
      <c r="R324" s="222"/>
    </row>
    <row r="325" spans="1:18" x14ac:dyDescent="0.2">
      <c r="A325" s="222">
        <f>A324+1</f>
        <v>33</v>
      </c>
      <c r="C325" s="444" t="s">
        <v>219</v>
      </c>
      <c r="D325" s="286"/>
      <c r="E325" s="286">
        <f t="shared" ref="E325:P325" si="142">E1170</f>
        <v>1</v>
      </c>
      <c r="F325" s="286">
        <f t="shared" si="142"/>
        <v>1</v>
      </c>
      <c r="G325" s="286">
        <f t="shared" si="142"/>
        <v>1</v>
      </c>
      <c r="H325" s="286">
        <f t="shared" si="142"/>
        <v>1</v>
      </c>
      <c r="I325" s="286">
        <f t="shared" si="142"/>
        <v>1</v>
      </c>
      <c r="J325" s="286">
        <f t="shared" si="142"/>
        <v>1</v>
      </c>
      <c r="K325" s="286">
        <f t="shared" si="142"/>
        <v>1</v>
      </c>
      <c r="L325" s="286">
        <f t="shared" si="142"/>
        <v>1</v>
      </c>
      <c r="M325" s="286">
        <f t="shared" si="142"/>
        <v>1</v>
      </c>
      <c r="N325" s="286">
        <f t="shared" si="142"/>
        <v>1</v>
      </c>
      <c r="O325" s="286">
        <f t="shared" si="142"/>
        <v>1</v>
      </c>
      <c r="P325" s="286">
        <f t="shared" si="142"/>
        <v>1</v>
      </c>
      <c r="Q325" s="240">
        <f>SUM(E325:P325)</f>
        <v>12</v>
      </c>
      <c r="R325" s="222"/>
    </row>
    <row r="326" spans="1:18" x14ac:dyDescent="0.2">
      <c r="A326" s="222">
        <f>A325+1</f>
        <v>34</v>
      </c>
      <c r="C326" s="444" t="s">
        <v>567</v>
      </c>
      <c r="D326" s="286"/>
      <c r="E326" s="293">
        <f t="shared" ref="E326:P326" si="143">E1177</f>
        <v>44077</v>
      </c>
      <c r="F326" s="293">
        <f t="shared" si="143"/>
        <v>26389</v>
      </c>
      <c r="G326" s="293">
        <f t="shared" si="143"/>
        <v>30000</v>
      </c>
      <c r="H326" s="293">
        <f t="shared" si="143"/>
        <v>30000</v>
      </c>
      <c r="I326" s="293">
        <f t="shared" si="143"/>
        <v>30000</v>
      </c>
      <c r="J326" s="293">
        <f t="shared" si="143"/>
        <v>30000</v>
      </c>
      <c r="K326" s="293">
        <f t="shared" si="143"/>
        <v>30000</v>
      </c>
      <c r="L326" s="293">
        <f t="shared" si="143"/>
        <v>30000</v>
      </c>
      <c r="M326" s="293">
        <f t="shared" si="143"/>
        <v>45000</v>
      </c>
      <c r="N326" s="293">
        <f t="shared" si="143"/>
        <v>45000</v>
      </c>
      <c r="O326" s="293">
        <f t="shared" si="143"/>
        <v>39555</v>
      </c>
      <c r="P326" s="293">
        <f t="shared" si="143"/>
        <v>39979</v>
      </c>
      <c r="Q326" s="245">
        <f>SUM(E326:P326)</f>
        <v>420000</v>
      </c>
      <c r="R326" s="222"/>
    </row>
    <row r="327" spans="1:18" x14ac:dyDescent="0.2">
      <c r="A327" s="222">
        <f>A326+1</f>
        <v>35</v>
      </c>
      <c r="C327" s="444" t="s">
        <v>221</v>
      </c>
      <c r="D327" s="286"/>
      <c r="E327" s="427">
        <f t="shared" ref="E327:P327" si="144">E1183</f>
        <v>18463.740000000002</v>
      </c>
      <c r="F327" s="427">
        <f t="shared" si="144"/>
        <v>13687.980000000001</v>
      </c>
      <c r="G327" s="427">
        <f t="shared" si="144"/>
        <v>14662.95</v>
      </c>
      <c r="H327" s="427">
        <f t="shared" si="144"/>
        <v>14662.95</v>
      </c>
      <c r="I327" s="427">
        <f t="shared" si="144"/>
        <v>14662.95</v>
      </c>
      <c r="J327" s="427">
        <f t="shared" si="144"/>
        <v>14662.95</v>
      </c>
      <c r="K327" s="427">
        <f t="shared" si="144"/>
        <v>14662.95</v>
      </c>
      <c r="L327" s="427">
        <f t="shared" si="144"/>
        <v>14662.95</v>
      </c>
      <c r="M327" s="427">
        <f t="shared" si="144"/>
        <v>18712.95</v>
      </c>
      <c r="N327" s="427">
        <f t="shared" si="144"/>
        <v>18712.95</v>
      </c>
      <c r="O327" s="427">
        <f t="shared" si="144"/>
        <v>17242.8</v>
      </c>
      <c r="P327" s="427">
        <f t="shared" si="144"/>
        <v>17357.28</v>
      </c>
      <c r="Q327" s="427">
        <f>SUM(E327:P327)</f>
        <v>192155.4</v>
      </c>
      <c r="R327" s="222"/>
    </row>
    <row r="328" spans="1:18" x14ac:dyDescent="0.2">
      <c r="A328" s="222">
        <f>A327+1</f>
        <v>36</v>
      </c>
      <c r="C328" s="444" t="s">
        <v>222</v>
      </c>
      <c r="D328" s="286"/>
      <c r="E328" s="427">
        <f t="shared" ref="E328:P328" si="145">E1185</f>
        <v>0</v>
      </c>
      <c r="F328" s="427">
        <f t="shared" si="145"/>
        <v>0</v>
      </c>
      <c r="G328" s="427">
        <f t="shared" si="145"/>
        <v>0</v>
      </c>
      <c r="H328" s="427">
        <f t="shared" si="145"/>
        <v>0</v>
      </c>
      <c r="I328" s="427">
        <f t="shared" si="145"/>
        <v>0</v>
      </c>
      <c r="J328" s="427">
        <f t="shared" si="145"/>
        <v>0</v>
      </c>
      <c r="K328" s="427">
        <f t="shared" si="145"/>
        <v>0</v>
      </c>
      <c r="L328" s="427">
        <f t="shared" si="145"/>
        <v>0</v>
      </c>
      <c r="M328" s="427">
        <f t="shared" si="145"/>
        <v>0</v>
      </c>
      <c r="N328" s="427">
        <f t="shared" si="145"/>
        <v>0</v>
      </c>
      <c r="O328" s="427">
        <f t="shared" si="145"/>
        <v>0</v>
      </c>
      <c r="P328" s="427">
        <f t="shared" si="145"/>
        <v>0</v>
      </c>
      <c r="Q328" s="427">
        <f>SUM(E328:P328)</f>
        <v>0</v>
      </c>
      <c r="R328" s="222"/>
    </row>
    <row r="329" spans="1:18" x14ac:dyDescent="0.2">
      <c r="A329" s="446">
        <f>A328+1</f>
        <v>37</v>
      </c>
      <c r="B329" s="447"/>
      <c r="C329" s="448" t="s">
        <v>568</v>
      </c>
      <c r="D329" s="461"/>
      <c r="E329" s="450">
        <f t="shared" ref="E329:P329" si="146">E1187</f>
        <v>18463.740000000002</v>
      </c>
      <c r="F329" s="450">
        <f t="shared" si="146"/>
        <v>13687.980000000001</v>
      </c>
      <c r="G329" s="450">
        <f t="shared" si="146"/>
        <v>14662.95</v>
      </c>
      <c r="H329" s="450">
        <f t="shared" si="146"/>
        <v>14662.95</v>
      </c>
      <c r="I329" s="450">
        <f t="shared" si="146"/>
        <v>14662.95</v>
      </c>
      <c r="J329" s="450">
        <f t="shared" si="146"/>
        <v>14662.95</v>
      </c>
      <c r="K329" s="450">
        <f t="shared" si="146"/>
        <v>14662.95</v>
      </c>
      <c r="L329" s="450">
        <f t="shared" si="146"/>
        <v>14662.95</v>
      </c>
      <c r="M329" s="450">
        <f t="shared" si="146"/>
        <v>18712.95</v>
      </c>
      <c r="N329" s="450">
        <f t="shared" si="146"/>
        <v>18712.95</v>
      </c>
      <c r="O329" s="450">
        <f t="shared" si="146"/>
        <v>17242.8</v>
      </c>
      <c r="P329" s="450">
        <f t="shared" si="146"/>
        <v>17357.28</v>
      </c>
      <c r="Q329" s="450">
        <f>SUM(E329:P329)</f>
        <v>192155.4</v>
      </c>
      <c r="R329" s="222"/>
    </row>
    <row r="330" spans="1:18" x14ac:dyDescent="0.2">
      <c r="A330" s="302"/>
      <c r="B330" s="301"/>
      <c r="C330" s="455"/>
      <c r="D330" s="304"/>
      <c r="E330" s="486"/>
      <c r="F330" s="486"/>
      <c r="G330" s="486"/>
      <c r="H330" s="486"/>
      <c r="I330" s="486"/>
      <c r="J330" s="486"/>
      <c r="K330" s="486"/>
      <c r="L330" s="486"/>
      <c r="M330" s="486"/>
      <c r="N330" s="486"/>
      <c r="O330" s="486"/>
      <c r="P330" s="486"/>
      <c r="Q330" s="486"/>
      <c r="R330" s="222"/>
    </row>
    <row r="331" spans="1:18" x14ac:dyDescent="0.2">
      <c r="A331" s="302"/>
      <c r="B331" s="301"/>
      <c r="C331" s="455"/>
      <c r="D331" s="304"/>
      <c r="E331" s="486"/>
      <c r="F331" s="486"/>
      <c r="G331" s="486"/>
      <c r="H331" s="486"/>
      <c r="I331" s="486"/>
      <c r="J331" s="486"/>
      <c r="K331" s="486"/>
      <c r="L331" s="486"/>
      <c r="M331" s="486"/>
      <c r="N331" s="486"/>
      <c r="O331" s="486"/>
      <c r="P331" s="486"/>
      <c r="Q331" s="486"/>
      <c r="R331" s="222"/>
    </row>
    <row r="332" spans="1:18" x14ac:dyDescent="0.2">
      <c r="A332" s="222" t="str">
        <f>$A$108</f>
        <v>[1] Reflects Normalized Volumes.</v>
      </c>
      <c r="B332" s="301"/>
      <c r="C332" s="455"/>
      <c r="D332" s="304"/>
      <c r="E332" s="486"/>
      <c r="F332" s="486"/>
      <c r="G332" s="486"/>
      <c r="H332" s="486"/>
      <c r="I332" s="486"/>
      <c r="J332" s="486"/>
      <c r="K332" s="486"/>
      <c r="L332" s="486"/>
      <c r="M332" s="486"/>
      <c r="N332" s="486"/>
      <c r="O332" s="486"/>
      <c r="P332" s="486"/>
      <c r="Q332" s="486"/>
      <c r="R332" s="222"/>
    </row>
    <row r="333" spans="1:18" x14ac:dyDescent="0.2">
      <c r="A333" s="460" t="str">
        <f>$A$109</f>
        <v>[2] See Schedule M-2.2 Pages 8 through 21 for detail.</v>
      </c>
      <c r="B333" s="301"/>
      <c r="C333" s="455"/>
      <c r="D333" s="304"/>
      <c r="E333" s="486"/>
      <c r="F333" s="486"/>
      <c r="G333" s="486"/>
      <c r="H333" s="486"/>
      <c r="I333" s="486"/>
      <c r="J333" s="486"/>
      <c r="K333" s="486"/>
      <c r="L333" s="486"/>
      <c r="M333" s="486"/>
      <c r="N333" s="486"/>
      <c r="O333" s="486"/>
      <c r="P333" s="486"/>
      <c r="Q333" s="486"/>
      <c r="R333" s="222"/>
    </row>
    <row r="334" spans="1:18" x14ac:dyDescent="0.2">
      <c r="A334" s="993" t="str">
        <f>CONAME</f>
        <v>Columbia Gas of Kentucky, Inc.</v>
      </c>
      <c r="B334" s="993"/>
      <c r="C334" s="993"/>
      <c r="D334" s="993"/>
      <c r="E334" s="993"/>
      <c r="F334" s="993"/>
      <c r="G334" s="993"/>
      <c r="H334" s="993"/>
      <c r="I334" s="993"/>
      <c r="J334" s="993"/>
      <c r="K334" s="993"/>
      <c r="L334" s="993"/>
      <c r="M334" s="993"/>
      <c r="N334" s="993"/>
      <c r="O334" s="993"/>
      <c r="P334" s="993"/>
      <c r="Q334" s="993"/>
      <c r="R334" s="222"/>
    </row>
    <row r="335" spans="1:18" x14ac:dyDescent="0.2">
      <c r="A335" s="981" t="str">
        <f>case</f>
        <v>Case No. 2016-00162</v>
      </c>
      <c r="B335" s="981"/>
      <c r="C335" s="981"/>
      <c r="D335" s="981"/>
      <c r="E335" s="981"/>
      <c r="F335" s="981"/>
      <c r="G335" s="981"/>
      <c r="H335" s="981"/>
      <c r="I335" s="981"/>
      <c r="J335" s="981"/>
      <c r="K335" s="981"/>
      <c r="L335" s="981"/>
      <c r="M335" s="981"/>
      <c r="N335" s="981"/>
      <c r="O335" s="981"/>
      <c r="P335" s="981"/>
      <c r="Q335" s="981"/>
      <c r="R335" s="222"/>
    </row>
    <row r="336" spans="1:18" x14ac:dyDescent="0.2">
      <c r="A336" s="994" t="s">
        <v>494</v>
      </c>
      <c r="B336" s="994"/>
      <c r="C336" s="994"/>
      <c r="D336" s="994"/>
      <c r="E336" s="994"/>
      <c r="F336" s="994"/>
      <c r="G336" s="994"/>
      <c r="H336" s="994"/>
      <c r="I336" s="994"/>
      <c r="J336" s="994"/>
      <c r="K336" s="994"/>
      <c r="L336" s="994"/>
      <c r="M336" s="994"/>
      <c r="N336" s="994"/>
      <c r="O336" s="994"/>
      <c r="P336" s="994"/>
      <c r="Q336" s="994"/>
      <c r="R336" s="222"/>
    </row>
    <row r="337" spans="1:18" x14ac:dyDescent="0.2">
      <c r="A337" s="993" t="str">
        <f>TYDESC</f>
        <v>For the 12 Months Ended December 31, 2017</v>
      </c>
      <c r="B337" s="993"/>
      <c r="C337" s="993"/>
      <c r="D337" s="993"/>
      <c r="E337" s="993"/>
      <c r="F337" s="993"/>
      <c r="G337" s="993"/>
      <c r="H337" s="993"/>
      <c r="I337" s="993"/>
      <c r="J337" s="993"/>
      <c r="K337" s="993"/>
      <c r="L337" s="993"/>
      <c r="M337" s="993"/>
      <c r="N337" s="993"/>
      <c r="O337" s="993"/>
      <c r="P337" s="993"/>
      <c r="Q337" s="993"/>
      <c r="R337" s="222"/>
    </row>
    <row r="338" spans="1:18" x14ac:dyDescent="0.2">
      <c r="A338" s="991" t="s">
        <v>39</v>
      </c>
      <c r="B338" s="991"/>
      <c r="C338" s="991"/>
      <c r="D338" s="991"/>
      <c r="E338" s="991"/>
      <c r="F338" s="991"/>
      <c r="G338" s="991"/>
      <c r="H338" s="991"/>
      <c r="I338" s="991"/>
      <c r="J338" s="991"/>
      <c r="K338" s="991"/>
      <c r="L338" s="991"/>
      <c r="M338" s="991"/>
      <c r="N338" s="991"/>
      <c r="O338" s="991"/>
      <c r="P338" s="991"/>
      <c r="Q338" s="991"/>
      <c r="R338" s="222"/>
    </row>
    <row r="339" spans="1:18" x14ac:dyDescent="0.2">
      <c r="A339" s="262" t="str">
        <f>$A$52</f>
        <v>Data: __ Base Period _X_ Forecasted Period</v>
      </c>
      <c r="R339" s="222"/>
    </row>
    <row r="340" spans="1:18" x14ac:dyDescent="0.2">
      <c r="A340" s="262" t="str">
        <f>$A$53</f>
        <v>Type of Filing: X Original _ Update _ Revised</v>
      </c>
      <c r="Q340" s="413" t="str">
        <f>$Q$53</f>
        <v>Schedule M-2.2</v>
      </c>
      <c r="R340" s="222"/>
    </row>
    <row r="341" spans="1:18" x14ac:dyDescent="0.2">
      <c r="A341" s="262" t="str">
        <f>$A$54</f>
        <v>Work Paper Reference No(s):</v>
      </c>
      <c r="Q341" s="413" t="s">
        <v>515</v>
      </c>
      <c r="R341" s="222"/>
    </row>
    <row r="342" spans="1:18" x14ac:dyDescent="0.2">
      <c r="A342" s="414" t="str">
        <f>$A$55</f>
        <v>12 Months Forecasted</v>
      </c>
      <c r="Q342" s="413" t="str">
        <f>Witness</f>
        <v>Witness:  M. J. Bell</v>
      </c>
      <c r="R342" s="222"/>
    </row>
    <row r="343" spans="1:18" x14ac:dyDescent="0.2">
      <c r="A343" s="992" t="s">
        <v>194</v>
      </c>
      <c r="B343" s="992"/>
      <c r="C343" s="992"/>
      <c r="D343" s="992"/>
      <c r="E343" s="992"/>
      <c r="F343" s="992"/>
      <c r="G343" s="992"/>
      <c r="H343" s="992"/>
      <c r="I343" s="992"/>
      <c r="J343" s="992"/>
      <c r="K343" s="992"/>
      <c r="L343" s="992"/>
      <c r="M343" s="992"/>
      <c r="N343" s="992"/>
      <c r="O343" s="992"/>
      <c r="P343" s="992"/>
      <c r="Q343" s="992"/>
      <c r="R343" s="222"/>
    </row>
    <row r="344" spans="1:18" x14ac:dyDescent="0.2">
      <c r="A344" s="433"/>
      <c r="B344" s="301"/>
      <c r="C344" s="301"/>
      <c r="D344" s="300"/>
      <c r="E344" s="301"/>
      <c r="F344" s="415"/>
      <c r="G344" s="435"/>
      <c r="H344" s="415"/>
      <c r="I344" s="436"/>
      <c r="J344" s="415"/>
      <c r="K344" s="415"/>
      <c r="L344" s="415"/>
      <c r="M344" s="415"/>
      <c r="N344" s="415"/>
      <c r="O344" s="415"/>
      <c r="P344" s="415"/>
      <c r="Q344" s="301"/>
      <c r="R344" s="222"/>
    </row>
    <row r="345" spans="1:18" x14ac:dyDescent="0.2">
      <c r="A345" s="787" t="s">
        <v>1</v>
      </c>
      <c r="B345" s="789" t="s">
        <v>0</v>
      </c>
      <c r="C345" s="789" t="s">
        <v>41</v>
      </c>
      <c r="D345" s="792" t="s">
        <v>47</v>
      </c>
      <c r="E345" s="789"/>
      <c r="F345" s="417"/>
      <c r="G345" s="418"/>
      <c r="H345" s="417"/>
      <c r="I345" s="791"/>
      <c r="J345" s="417"/>
      <c r="K345" s="417"/>
      <c r="L345" s="417"/>
      <c r="M345" s="417"/>
      <c r="N345" s="417"/>
      <c r="O345" s="417"/>
      <c r="P345" s="417"/>
      <c r="Q345" s="790"/>
      <c r="R345" s="222"/>
    </row>
    <row r="346" spans="1:18" x14ac:dyDescent="0.2">
      <c r="A346" s="281" t="s">
        <v>3</v>
      </c>
      <c r="B346" s="226" t="s">
        <v>40</v>
      </c>
      <c r="C346" s="226" t="s">
        <v>4</v>
      </c>
      <c r="D346" s="420" t="s">
        <v>48</v>
      </c>
      <c r="E346" s="421" t="str">
        <f>B!$D$11</f>
        <v>Jan-17</v>
      </c>
      <c r="F346" s="421" t="str">
        <f>B!$E$11</f>
        <v>Feb-17</v>
      </c>
      <c r="G346" s="421" t="str">
        <f>B!$F$11</f>
        <v>Mar-17</v>
      </c>
      <c r="H346" s="421" t="str">
        <f>B!$G$11</f>
        <v>Apr-17</v>
      </c>
      <c r="I346" s="421" t="str">
        <f>B!$H$11</f>
        <v>May-17</v>
      </c>
      <c r="J346" s="421" t="str">
        <f>B!$I$11</f>
        <v>Jun-17</v>
      </c>
      <c r="K346" s="421" t="str">
        <f>B!$J$11</f>
        <v>Jul-17</v>
      </c>
      <c r="L346" s="421" t="str">
        <f>B!$K$11</f>
        <v>Aug-17</v>
      </c>
      <c r="M346" s="421" t="str">
        <f>B!$L$11</f>
        <v>Sep-17</v>
      </c>
      <c r="N346" s="421" t="str">
        <f>B!$M$11</f>
        <v>Oct-17</v>
      </c>
      <c r="O346" s="421" t="str">
        <f>B!$N$11</f>
        <v>Nov-17</v>
      </c>
      <c r="P346" s="421" t="str">
        <f>B!$O$11</f>
        <v>Dec-17</v>
      </c>
      <c r="Q346" s="422" t="s">
        <v>9</v>
      </c>
      <c r="R346" s="222"/>
    </row>
    <row r="347" spans="1:18" x14ac:dyDescent="0.2">
      <c r="A347" s="787"/>
      <c r="B347" s="790" t="s">
        <v>42</v>
      </c>
      <c r="C347" s="790" t="s">
        <v>43</v>
      </c>
      <c r="D347" s="423" t="s">
        <v>45</v>
      </c>
      <c r="E347" s="424" t="s">
        <v>46</v>
      </c>
      <c r="F347" s="424" t="s">
        <v>49</v>
      </c>
      <c r="G347" s="424" t="s">
        <v>50</v>
      </c>
      <c r="H347" s="424" t="s">
        <v>51</v>
      </c>
      <c r="I347" s="424" t="s">
        <v>52</v>
      </c>
      <c r="J347" s="424" t="s">
        <v>53</v>
      </c>
      <c r="K347" s="425" t="s">
        <v>54</v>
      </c>
      <c r="L347" s="425" t="s">
        <v>55</v>
      </c>
      <c r="M347" s="425" t="s">
        <v>56</v>
      </c>
      <c r="N347" s="425" t="s">
        <v>57</v>
      </c>
      <c r="O347" s="425" t="s">
        <v>58</v>
      </c>
      <c r="P347" s="425" t="s">
        <v>59</v>
      </c>
      <c r="Q347" s="425" t="s">
        <v>203</v>
      </c>
      <c r="R347" s="222"/>
    </row>
    <row r="348" spans="1:18" x14ac:dyDescent="0.2">
      <c r="D348" s="286"/>
      <c r="E348" s="222"/>
      <c r="F348" s="288"/>
      <c r="G348" s="288"/>
      <c r="H348" s="288"/>
      <c r="I348" s="293"/>
      <c r="J348" s="288"/>
      <c r="K348" s="288"/>
      <c r="L348" s="288"/>
      <c r="M348" s="288"/>
      <c r="N348" s="288"/>
      <c r="O348" s="288"/>
      <c r="P348" s="288"/>
      <c r="Q348" s="288"/>
      <c r="R348" s="222"/>
    </row>
    <row r="349" spans="1:18" x14ac:dyDescent="0.2">
      <c r="A349" s="222">
        <v>1</v>
      </c>
      <c r="C349" s="438" t="s">
        <v>95</v>
      </c>
      <c r="D349" s="286"/>
      <c r="E349" s="222"/>
      <c r="F349" s="288"/>
      <c r="G349" s="288"/>
      <c r="H349" s="288"/>
      <c r="I349" s="293"/>
      <c r="J349" s="288"/>
      <c r="K349" s="288"/>
      <c r="L349" s="288"/>
      <c r="M349" s="288"/>
      <c r="N349" s="288"/>
      <c r="O349" s="288"/>
      <c r="P349" s="288"/>
      <c r="Q349" s="288"/>
      <c r="R349" s="222"/>
    </row>
    <row r="350" spans="1:18" x14ac:dyDescent="0.2">
      <c r="D350" s="286"/>
      <c r="E350" s="222"/>
      <c r="F350" s="288"/>
      <c r="G350" s="288"/>
      <c r="H350" s="288"/>
      <c r="I350" s="293"/>
      <c r="J350" s="288"/>
      <c r="K350" s="288"/>
      <c r="L350" s="288"/>
      <c r="M350" s="288"/>
      <c r="N350" s="288"/>
      <c r="O350" s="288"/>
      <c r="P350" s="288"/>
      <c r="Q350" s="288"/>
      <c r="R350" s="222"/>
    </row>
    <row r="351" spans="1:18" x14ac:dyDescent="0.2">
      <c r="A351" s="222">
        <f>A349+1</f>
        <v>2</v>
      </c>
      <c r="B351" s="219" t="str">
        <f>Input!A53</f>
        <v>SAS</v>
      </c>
      <c r="C351" s="219" t="str">
        <f>'Sch M 2.1'!B48</f>
        <v>GTS Special Agency Service</v>
      </c>
      <c r="D351" s="286"/>
      <c r="E351" s="222"/>
      <c r="F351" s="288"/>
      <c r="G351" s="288"/>
      <c r="H351" s="288"/>
      <c r="I351" s="293"/>
      <c r="J351" s="288"/>
      <c r="K351" s="288"/>
      <c r="L351" s="288"/>
      <c r="M351" s="288"/>
      <c r="N351" s="288"/>
      <c r="O351" s="288"/>
      <c r="P351" s="288"/>
      <c r="Q351" s="288"/>
      <c r="R351" s="222"/>
    </row>
    <row r="352" spans="1:18" x14ac:dyDescent="0.2">
      <c r="A352" s="222">
        <f>A351+1</f>
        <v>3</v>
      </c>
      <c r="C352" s="444" t="s">
        <v>219</v>
      </c>
      <c r="D352" s="286"/>
      <c r="E352" s="286">
        <f t="shared" ref="E352:P352" si="147">E1210</f>
        <v>0</v>
      </c>
      <c r="F352" s="286">
        <f t="shared" si="147"/>
        <v>0</v>
      </c>
      <c r="G352" s="286">
        <f t="shared" si="147"/>
        <v>0</v>
      </c>
      <c r="H352" s="286">
        <f t="shared" si="147"/>
        <v>0</v>
      </c>
      <c r="I352" s="286">
        <f t="shared" si="147"/>
        <v>0</v>
      </c>
      <c r="J352" s="286">
        <f t="shared" si="147"/>
        <v>0</v>
      </c>
      <c r="K352" s="286">
        <f t="shared" si="147"/>
        <v>0</v>
      </c>
      <c r="L352" s="286">
        <f t="shared" si="147"/>
        <v>0</v>
      </c>
      <c r="M352" s="286">
        <f t="shared" si="147"/>
        <v>0</v>
      </c>
      <c r="N352" s="286">
        <f t="shared" si="147"/>
        <v>0</v>
      </c>
      <c r="O352" s="286">
        <f t="shared" si="147"/>
        <v>0</v>
      </c>
      <c r="P352" s="286">
        <f t="shared" si="147"/>
        <v>0</v>
      </c>
      <c r="Q352" s="240">
        <f>SUM(E352:P352)</f>
        <v>0</v>
      </c>
      <c r="R352" s="222"/>
    </row>
    <row r="353" spans="1:18" x14ac:dyDescent="0.2">
      <c r="A353" s="222">
        <f>A352+1</f>
        <v>4</v>
      </c>
      <c r="C353" s="444" t="s">
        <v>567</v>
      </c>
      <c r="D353" s="286"/>
      <c r="E353" s="293">
        <f t="shared" ref="E353:P353" si="148">E1219</f>
        <v>0</v>
      </c>
      <c r="F353" s="293">
        <f t="shared" si="148"/>
        <v>0</v>
      </c>
      <c r="G353" s="293">
        <f t="shared" si="148"/>
        <v>0</v>
      </c>
      <c r="H353" s="293">
        <f t="shared" si="148"/>
        <v>0</v>
      </c>
      <c r="I353" s="293">
        <f t="shared" si="148"/>
        <v>0</v>
      </c>
      <c r="J353" s="293">
        <f t="shared" si="148"/>
        <v>0</v>
      </c>
      <c r="K353" s="293">
        <f t="shared" si="148"/>
        <v>0</v>
      </c>
      <c r="L353" s="293">
        <f t="shared" si="148"/>
        <v>0</v>
      </c>
      <c r="M353" s="293">
        <f t="shared" si="148"/>
        <v>0</v>
      </c>
      <c r="N353" s="293">
        <f t="shared" si="148"/>
        <v>0</v>
      </c>
      <c r="O353" s="293">
        <f t="shared" si="148"/>
        <v>0</v>
      </c>
      <c r="P353" s="293">
        <f t="shared" si="148"/>
        <v>0</v>
      </c>
      <c r="Q353" s="245">
        <f>SUM(E353:P353)</f>
        <v>0</v>
      </c>
      <c r="R353" s="222"/>
    </row>
    <row r="354" spans="1:18" x14ac:dyDescent="0.2">
      <c r="A354" s="222">
        <f>A353+1</f>
        <v>5</v>
      </c>
      <c r="C354" s="444" t="s">
        <v>221</v>
      </c>
      <c r="D354" s="286"/>
      <c r="E354" s="427">
        <f t="shared" ref="E354:P354" si="149">E1226</f>
        <v>0</v>
      </c>
      <c r="F354" s="427">
        <f t="shared" si="149"/>
        <v>0</v>
      </c>
      <c r="G354" s="427">
        <f t="shared" si="149"/>
        <v>0</v>
      </c>
      <c r="H354" s="427">
        <f t="shared" si="149"/>
        <v>0</v>
      </c>
      <c r="I354" s="427">
        <f t="shared" si="149"/>
        <v>0</v>
      </c>
      <c r="J354" s="427">
        <f t="shared" si="149"/>
        <v>0</v>
      </c>
      <c r="K354" s="427">
        <f t="shared" si="149"/>
        <v>0</v>
      </c>
      <c r="L354" s="427">
        <f t="shared" si="149"/>
        <v>0</v>
      </c>
      <c r="M354" s="427">
        <f t="shared" si="149"/>
        <v>0</v>
      </c>
      <c r="N354" s="427">
        <f t="shared" si="149"/>
        <v>0</v>
      </c>
      <c r="O354" s="427">
        <f t="shared" si="149"/>
        <v>0</v>
      </c>
      <c r="P354" s="427">
        <f t="shared" si="149"/>
        <v>0</v>
      </c>
      <c r="Q354" s="427">
        <f>SUM(E354:P354)</f>
        <v>0</v>
      </c>
      <c r="R354" s="222"/>
    </row>
    <row r="355" spans="1:18" x14ac:dyDescent="0.2">
      <c r="A355" s="222">
        <f>A354+1</f>
        <v>6</v>
      </c>
      <c r="C355" s="444" t="s">
        <v>222</v>
      </c>
      <c r="D355" s="286"/>
      <c r="E355" s="427">
        <f t="shared" ref="E355:P355" si="150">E1228</f>
        <v>0</v>
      </c>
      <c r="F355" s="427">
        <f t="shared" si="150"/>
        <v>0</v>
      </c>
      <c r="G355" s="427">
        <f t="shared" si="150"/>
        <v>0</v>
      </c>
      <c r="H355" s="427">
        <f t="shared" si="150"/>
        <v>0</v>
      </c>
      <c r="I355" s="427">
        <f t="shared" si="150"/>
        <v>0</v>
      </c>
      <c r="J355" s="427">
        <f t="shared" si="150"/>
        <v>0</v>
      </c>
      <c r="K355" s="427">
        <f t="shared" si="150"/>
        <v>0</v>
      </c>
      <c r="L355" s="427">
        <f t="shared" si="150"/>
        <v>0</v>
      </c>
      <c r="M355" s="427">
        <f t="shared" si="150"/>
        <v>0</v>
      </c>
      <c r="N355" s="427">
        <f t="shared" si="150"/>
        <v>0</v>
      </c>
      <c r="O355" s="427">
        <f t="shared" si="150"/>
        <v>0</v>
      </c>
      <c r="P355" s="427">
        <f t="shared" si="150"/>
        <v>0</v>
      </c>
      <c r="Q355" s="427">
        <f>SUM(E355:P355)</f>
        <v>0</v>
      </c>
      <c r="R355" s="222"/>
    </row>
    <row r="356" spans="1:18" x14ac:dyDescent="0.2">
      <c r="A356" s="446">
        <f>A355+1</f>
        <v>7</v>
      </c>
      <c r="B356" s="447"/>
      <c r="C356" s="448" t="s">
        <v>568</v>
      </c>
      <c r="D356" s="461"/>
      <c r="E356" s="450">
        <f t="shared" ref="E356:P356" si="151">E1230</f>
        <v>0</v>
      </c>
      <c r="F356" s="450">
        <f t="shared" si="151"/>
        <v>0</v>
      </c>
      <c r="G356" s="450">
        <f t="shared" si="151"/>
        <v>0</v>
      </c>
      <c r="H356" s="450">
        <f t="shared" si="151"/>
        <v>0</v>
      </c>
      <c r="I356" s="450">
        <f t="shared" si="151"/>
        <v>0</v>
      </c>
      <c r="J356" s="450">
        <f t="shared" si="151"/>
        <v>0</v>
      </c>
      <c r="K356" s="450">
        <f t="shared" si="151"/>
        <v>0</v>
      </c>
      <c r="L356" s="450">
        <f t="shared" si="151"/>
        <v>0</v>
      </c>
      <c r="M356" s="450">
        <f t="shared" si="151"/>
        <v>0</v>
      </c>
      <c r="N356" s="450">
        <f t="shared" si="151"/>
        <v>0</v>
      </c>
      <c r="O356" s="450">
        <f t="shared" si="151"/>
        <v>0</v>
      </c>
      <c r="P356" s="450">
        <f t="shared" si="151"/>
        <v>0</v>
      </c>
      <c r="Q356" s="450">
        <f>SUM(E356:P356)</f>
        <v>0</v>
      </c>
      <c r="R356" s="222"/>
    </row>
    <row r="357" spans="1:18" x14ac:dyDescent="0.2">
      <c r="D357" s="286"/>
      <c r="E357" s="222"/>
      <c r="F357" s="288"/>
      <c r="G357" s="288"/>
      <c r="H357" s="288"/>
      <c r="I357" s="293"/>
      <c r="J357" s="288"/>
      <c r="K357" s="288"/>
      <c r="L357" s="288"/>
      <c r="M357" s="288"/>
      <c r="N357" s="288"/>
      <c r="O357" s="288"/>
      <c r="P357" s="288"/>
      <c r="Q357" s="288"/>
      <c r="R357" s="222"/>
    </row>
    <row r="358" spans="1:18" x14ac:dyDescent="0.2">
      <c r="A358" s="222">
        <f>A356+1</f>
        <v>8</v>
      </c>
      <c r="B358" s="219" t="str">
        <f>Input!A54</f>
        <v>SC3</v>
      </c>
      <c r="C358" s="219" t="str">
        <f>'Sch M 2.1'!B49</f>
        <v>GTS Special Rate - Industrial</v>
      </c>
      <c r="D358" s="431"/>
      <c r="E358" s="462"/>
      <c r="F358" s="463"/>
      <c r="G358" s="463"/>
      <c r="H358" s="463"/>
      <c r="I358" s="464"/>
      <c r="J358" s="463"/>
      <c r="K358" s="463"/>
      <c r="L358" s="463"/>
      <c r="M358" s="463"/>
      <c r="N358" s="463"/>
      <c r="O358" s="463"/>
      <c r="P358" s="463"/>
      <c r="Q358" s="463"/>
    </row>
    <row r="359" spans="1:18" x14ac:dyDescent="0.2">
      <c r="A359" s="222">
        <f>A358+1</f>
        <v>9</v>
      </c>
      <c r="C359" s="444" t="s">
        <v>219</v>
      </c>
      <c r="D359" s="431"/>
      <c r="E359" s="240">
        <f t="shared" ref="E359:P359" si="152">E1236</f>
        <v>1</v>
      </c>
      <c r="F359" s="240">
        <f t="shared" si="152"/>
        <v>1</v>
      </c>
      <c r="G359" s="240">
        <f t="shared" si="152"/>
        <v>1</v>
      </c>
      <c r="H359" s="240">
        <f t="shared" si="152"/>
        <v>1</v>
      </c>
      <c r="I359" s="240">
        <f t="shared" si="152"/>
        <v>1</v>
      </c>
      <c r="J359" s="240">
        <f t="shared" si="152"/>
        <v>1</v>
      </c>
      <c r="K359" s="240">
        <f t="shared" si="152"/>
        <v>1</v>
      </c>
      <c r="L359" s="240">
        <f t="shared" si="152"/>
        <v>1</v>
      </c>
      <c r="M359" s="240">
        <f t="shared" si="152"/>
        <v>1</v>
      </c>
      <c r="N359" s="240">
        <f t="shared" si="152"/>
        <v>1</v>
      </c>
      <c r="O359" s="240">
        <f t="shared" si="152"/>
        <v>1</v>
      </c>
      <c r="P359" s="240">
        <f t="shared" si="152"/>
        <v>1</v>
      </c>
      <c r="Q359" s="240">
        <f>SUM(E359:P359)</f>
        <v>12</v>
      </c>
    </row>
    <row r="360" spans="1:18" x14ac:dyDescent="0.2">
      <c r="A360" s="222">
        <f>A359+1</f>
        <v>10</v>
      </c>
      <c r="C360" s="444" t="s">
        <v>567</v>
      </c>
      <c r="D360" s="431"/>
      <c r="E360" s="245">
        <f t="shared" ref="E360:P360" si="153">E1243</f>
        <v>165000</v>
      </c>
      <c r="F360" s="245">
        <f t="shared" si="153"/>
        <v>155000</v>
      </c>
      <c r="G360" s="245">
        <f t="shared" si="153"/>
        <v>140000</v>
      </c>
      <c r="H360" s="245">
        <f t="shared" si="153"/>
        <v>128000</v>
      </c>
      <c r="I360" s="245">
        <f t="shared" si="153"/>
        <v>111000</v>
      </c>
      <c r="J360" s="245">
        <f t="shared" si="153"/>
        <v>102000</v>
      </c>
      <c r="K360" s="245">
        <f t="shared" si="153"/>
        <v>102000</v>
      </c>
      <c r="L360" s="245">
        <f t="shared" si="153"/>
        <v>102000</v>
      </c>
      <c r="M360" s="245">
        <f t="shared" si="153"/>
        <v>120000</v>
      </c>
      <c r="N360" s="245">
        <f t="shared" si="153"/>
        <v>145000</v>
      </c>
      <c r="O360" s="245">
        <f t="shared" si="153"/>
        <v>150000</v>
      </c>
      <c r="P360" s="245">
        <f t="shared" si="153"/>
        <v>160000</v>
      </c>
      <c r="Q360" s="245">
        <f>SUM(E360:P360)</f>
        <v>1580000</v>
      </c>
    </row>
    <row r="361" spans="1:18" x14ac:dyDescent="0.2">
      <c r="A361" s="222">
        <f>A360+1</f>
        <v>11</v>
      </c>
      <c r="C361" s="444" t="s">
        <v>221</v>
      </c>
      <c r="D361" s="431"/>
      <c r="E361" s="427">
        <f t="shared" ref="E361:P361" si="154">E1249</f>
        <v>46962.95</v>
      </c>
      <c r="F361" s="427">
        <f t="shared" si="154"/>
        <v>45362.95</v>
      </c>
      <c r="G361" s="427">
        <f t="shared" si="154"/>
        <v>41662.949999999997</v>
      </c>
      <c r="H361" s="427">
        <f t="shared" si="154"/>
        <v>39742.949999999997</v>
      </c>
      <c r="I361" s="427">
        <f t="shared" si="154"/>
        <v>35722.949999999997</v>
      </c>
      <c r="J361" s="427">
        <f t="shared" si="154"/>
        <v>34282.949999999997</v>
      </c>
      <c r="K361" s="427">
        <f t="shared" si="154"/>
        <v>34282.949999999997</v>
      </c>
      <c r="L361" s="427">
        <f t="shared" si="154"/>
        <v>34282.949999999997</v>
      </c>
      <c r="M361" s="427">
        <f t="shared" si="154"/>
        <v>37162.949999999997</v>
      </c>
      <c r="N361" s="427">
        <f t="shared" si="154"/>
        <v>41162.949999999997</v>
      </c>
      <c r="O361" s="427">
        <f t="shared" si="154"/>
        <v>43262.95</v>
      </c>
      <c r="P361" s="427">
        <f t="shared" si="154"/>
        <v>46162.95</v>
      </c>
      <c r="Q361" s="427">
        <f>SUM(E361:P361)</f>
        <v>480055.40000000008</v>
      </c>
    </row>
    <row r="362" spans="1:18" x14ac:dyDescent="0.2">
      <c r="A362" s="222">
        <f>A361+1</f>
        <v>12</v>
      </c>
      <c r="C362" s="444" t="s">
        <v>642</v>
      </c>
      <c r="D362" s="431"/>
      <c r="E362" s="427">
        <f>E1251</f>
        <v>0</v>
      </c>
      <c r="F362" s="427">
        <f t="shared" ref="F362:P362" si="155">F1251</f>
        <v>0</v>
      </c>
      <c r="G362" s="427">
        <f t="shared" si="155"/>
        <v>0</v>
      </c>
      <c r="H362" s="427">
        <f t="shared" si="155"/>
        <v>0</v>
      </c>
      <c r="I362" s="427">
        <f t="shared" si="155"/>
        <v>0</v>
      </c>
      <c r="J362" s="427">
        <f t="shared" si="155"/>
        <v>0</v>
      </c>
      <c r="K362" s="427">
        <f t="shared" si="155"/>
        <v>0</v>
      </c>
      <c r="L362" s="427">
        <f t="shared" si="155"/>
        <v>0</v>
      </c>
      <c r="M362" s="427">
        <f t="shared" si="155"/>
        <v>0</v>
      </c>
      <c r="N362" s="427">
        <f t="shared" si="155"/>
        <v>0</v>
      </c>
      <c r="O362" s="427">
        <f t="shared" si="155"/>
        <v>0</v>
      </c>
      <c r="P362" s="427">
        <f t="shared" si="155"/>
        <v>185945</v>
      </c>
      <c r="Q362" s="427">
        <f>SUM(E362:P362)</f>
        <v>185945</v>
      </c>
    </row>
    <row r="363" spans="1:18" x14ac:dyDescent="0.2">
      <c r="A363" s="446">
        <f>A362+1</f>
        <v>13</v>
      </c>
      <c r="B363" s="447"/>
      <c r="C363" s="448" t="s">
        <v>568</v>
      </c>
      <c r="D363" s="465"/>
      <c r="E363" s="450">
        <f>E1253</f>
        <v>46962.95</v>
      </c>
      <c r="F363" s="450">
        <f t="shared" ref="F363:P363" si="156">F1253</f>
        <v>45362.95</v>
      </c>
      <c r="G363" s="450">
        <f t="shared" si="156"/>
        <v>41662.949999999997</v>
      </c>
      <c r="H363" s="450">
        <f t="shared" si="156"/>
        <v>39742.949999999997</v>
      </c>
      <c r="I363" s="450">
        <f t="shared" si="156"/>
        <v>35722.949999999997</v>
      </c>
      <c r="J363" s="450">
        <f t="shared" si="156"/>
        <v>34282.949999999997</v>
      </c>
      <c r="K363" s="450">
        <f t="shared" si="156"/>
        <v>34282.949999999997</v>
      </c>
      <c r="L363" s="450">
        <f t="shared" si="156"/>
        <v>34282.949999999997</v>
      </c>
      <c r="M363" s="450">
        <f t="shared" si="156"/>
        <v>37162.949999999997</v>
      </c>
      <c r="N363" s="450">
        <f t="shared" si="156"/>
        <v>41162.949999999997</v>
      </c>
      <c r="O363" s="450">
        <f t="shared" si="156"/>
        <v>43262.95</v>
      </c>
      <c r="P363" s="450">
        <f t="shared" si="156"/>
        <v>232107.95</v>
      </c>
      <c r="Q363" s="450">
        <f>SUM(E363:P363)</f>
        <v>666000.40000000014</v>
      </c>
    </row>
    <row r="364" spans="1:18" x14ac:dyDescent="0.2">
      <c r="D364" s="431"/>
      <c r="E364" s="462"/>
      <c r="F364" s="463"/>
      <c r="G364" s="463"/>
      <c r="H364" s="463"/>
      <c r="I364" s="464"/>
      <c r="J364" s="463"/>
      <c r="K364" s="463"/>
      <c r="L364" s="463"/>
      <c r="M364" s="463"/>
      <c r="N364" s="463"/>
      <c r="O364" s="463"/>
      <c r="P364" s="463"/>
      <c r="Q364" s="463"/>
    </row>
    <row r="365" spans="1:18" x14ac:dyDescent="0.2">
      <c r="A365" s="222">
        <f>A363+1</f>
        <v>14</v>
      </c>
      <c r="B365" s="219" t="s">
        <v>106</v>
      </c>
      <c r="E365" s="427">
        <f t="shared" ref="E365:P365" si="157">E70+E77+E84+E91+E98+E105+E134+E141+E148+E155+E162+E190+E197+E204+E232+E239+E246+E253+E260+E267+E294+E301+E308+E315+E322+E329+E356+E363</f>
        <v>14017271.709999997</v>
      </c>
      <c r="F365" s="427">
        <f t="shared" si="157"/>
        <v>13709385.34</v>
      </c>
      <c r="G365" s="427">
        <f t="shared" si="157"/>
        <v>11041014.209999999</v>
      </c>
      <c r="H365" s="427">
        <f t="shared" si="157"/>
        <v>7878985.9600000009</v>
      </c>
      <c r="I365" s="427">
        <f t="shared" si="157"/>
        <v>5573861.5</v>
      </c>
      <c r="J365" s="427">
        <f t="shared" si="157"/>
        <v>4528875.08</v>
      </c>
      <c r="K365" s="427">
        <f t="shared" si="157"/>
        <v>4196751.7700000005</v>
      </c>
      <c r="L365" s="427">
        <f t="shared" si="157"/>
        <v>4184958.08</v>
      </c>
      <c r="M365" s="427">
        <f t="shared" si="157"/>
        <v>4217683.2899999991</v>
      </c>
      <c r="N365" s="427">
        <f t="shared" si="157"/>
        <v>4715658.6400000006</v>
      </c>
      <c r="O365" s="427">
        <f t="shared" si="157"/>
        <v>6692948.6500000022</v>
      </c>
      <c r="P365" s="427">
        <f t="shared" si="157"/>
        <v>10795233.909999996</v>
      </c>
      <c r="Q365" s="427">
        <f>SUM(E365:P365)</f>
        <v>91552628.140000001</v>
      </c>
    </row>
    <row r="366" spans="1:18" x14ac:dyDescent="0.2">
      <c r="E366" s="459"/>
      <c r="F366" s="459"/>
      <c r="G366" s="459"/>
      <c r="H366" s="459"/>
      <c r="I366" s="459"/>
      <c r="J366" s="459"/>
      <c r="K366" s="466"/>
      <c r="L366" s="459"/>
      <c r="M366" s="459"/>
      <c r="N366" s="459"/>
      <c r="O366" s="459"/>
      <c r="P366" s="459"/>
      <c r="Q366" s="459"/>
    </row>
    <row r="367" spans="1:18" x14ac:dyDescent="0.2">
      <c r="A367" s="222">
        <f>A365+1</f>
        <v>15</v>
      </c>
      <c r="C367" s="438" t="s">
        <v>102</v>
      </c>
      <c r="E367" s="467"/>
      <c r="F367" s="467"/>
      <c r="G367" s="467"/>
      <c r="H367" s="467"/>
      <c r="I367" s="467"/>
      <c r="J367" s="467"/>
      <c r="K367" s="467"/>
      <c r="L367" s="467"/>
      <c r="M367" s="467"/>
      <c r="N367" s="467"/>
      <c r="O367" s="467"/>
      <c r="P367" s="467"/>
    </row>
    <row r="368" spans="1:18" x14ac:dyDescent="0.2"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</row>
    <row r="369" spans="1:17" x14ac:dyDescent="0.2">
      <c r="A369" s="222">
        <f>A367+1</f>
        <v>16</v>
      </c>
      <c r="C369" s="219" t="s">
        <v>179</v>
      </c>
      <c r="E369" s="468">
        <v>56000</v>
      </c>
      <c r="F369" s="468">
        <v>79000</v>
      </c>
      <c r="G369" s="468">
        <v>78000</v>
      </c>
      <c r="H369" s="468">
        <v>74000</v>
      </c>
      <c r="I369" s="468">
        <v>40000</v>
      </c>
      <c r="J369" s="468">
        <v>25000</v>
      </c>
      <c r="K369" s="468">
        <v>20000</v>
      </c>
      <c r="L369" s="468">
        <v>19000</v>
      </c>
      <c r="M369" s="468">
        <v>22000</v>
      </c>
      <c r="N369" s="468">
        <v>11000</v>
      </c>
      <c r="O369" s="468">
        <v>18000</v>
      </c>
      <c r="P369" s="468">
        <v>34000</v>
      </c>
      <c r="Q369" s="427">
        <f>SUM(E369:P369)</f>
        <v>476000</v>
      </c>
    </row>
    <row r="370" spans="1:17" x14ac:dyDescent="0.2">
      <c r="A370" s="222">
        <f>A369+1</f>
        <v>17</v>
      </c>
      <c r="C370" s="219" t="s">
        <v>103</v>
      </c>
      <c r="E370" s="468">
        <v>8000</v>
      </c>
      <c r="F370" s="468">
        <v>9000</v>
      </c>
      <c r="G370" s="468">
        <v>11000</v>
      </c>
      <c r="H370" s="468">
        <v>13000</v>
      </c>
      <c r="I370" s="468">
        <v>10000</v>
      </c>
      <c r="J370" s="468">
        <v>11000</v>
      </c>
      <c r="K370" s="468">
        <v>9000</v>
      </c>
      <c r="L370" s="468">
        <v>8000</v>
      </c>
      <c r="M370" s="468">
        <v>9000</v>
      </c>
      <c r="N370" s="468">
        <v>19000</v>
      </c>
      <c r="O370" s="468">
        <v>20000</v>
      </c>
      <c r="P370" s="468">
        <v>10000</v>
      </c>
      <c r="Q370" s="427">
        <f>SUM(E370:P370)</f>
        <v>137000</v>
      </c>
    </row>
    <row r="371" spans="1:17" x14ac:dyDescent="0.2">
      <c r="A371" s="222">
        <f>A370+1</f>
        <v>18</v>
      </c>
      <c r="C371" s="219" t="s">
        <v>318</v>
      </c>
      <c r="E371" s="468">
        <v>6000</v>
      </c>
      <c r="F371" s="468">
        <v>6000</v>
      </c>
      <c r="G371" s="468">
        <v>6000</v>
      </c>
      <c r="H371" s="468">
        <v>6000</v>
      </c>
      <c r="I371" s="468">
        <v>6000</v>
      </c>
      <c r="J371" s="468">
        <v>6000</v>
      </c>
      <c r="K371" s="468">
        <v>6000</v>
      </c>
      <c r="L371" s="468">
        <v>6000</v>
      </c>
      <c r="M371" s="468">
        <v>6000</v>
      </c>
      <c r="N371" s="468">
        <v>6000</v>
      </c>
      <c r="O371" s="468">
        <v>6000</v>
      </c>
      <c r="P371" s="468">
        <v>6000</v>
      </c>
      <c r="Q371" s="427">
        <f>SUM(E371:P371)</f>
        <v>72000</v>
      </c>
    </row>
    <row r="372" spans="1:17" x14ac:dyDescent="0.2">
      <c r="A372" s="222">
        <f>A371+1</f>
        <v>19</v>
      </c>
      <c r="C372" s="219" t="s">
        <v>104</v>
      </c>
      <c r="E372" s="468">
        <v>0</v>
      </c>
      <c r="F372" s="468">
        <v>0</v>
      </c>
      <c r="G372" s="468">
        <v>0</v>
      </c>
      <c r="H372" s="468">
        <v>0</v>
      </c>
      <c r="I372" s="468">
        <v>0</v>
      </c>
      <c r="J372" s="468">
        <v>0</v>
      </c>
      <c r="K372" s="468">
        <v>0</v>
      </c>
      <c r="L372" s="468">
        <v>0</v>
      </c>
      <c r="M372" s="468">
        <v>0</v>
      </c>
      <c r="N372" s="468">
        <v>0</v>
      </c>
      <c r="O372" s="468">
        <v>0</v>
      </c>
      <c r="P372" s="468">
        <v>0</v>
      </c>
      <c r="Q372" s="427">
        <f>SUM(E372:P372)</f>
        <v>0</v>
      </c>
    </row>
    <row r="373" spans="1:17" x14ac:dyDescent="0.2">
      <c r="A373" s="222">
        <f>A372+1</f>
        <v>20</v>
      </c>
      <c r="C373" s="219" t="s">
        <v>105</v>
      </c>
      <c r="E373" s="468">
        <v>66000</v>
      </c>
      <c r="F373" s="468">
        <v>58000</v>
      </c>
      <c r="G373" s="468">
        <v>61000</v>
      </c>
      <c r="H373" s="468">
        <v>85000</v>
      </c>
      <c r="I373" s="468">
        <v>24000</v>
      </c>
      <c r="J373" s="468">
        <v>19000</v>
      </c>
      <c r="K373" s="468">
        <v>16000</v>
      </c>
      <c r="L373" s="468">
        <v>15000</v>
      </c>
      <c r="M373" s="468">
        <v>16000</v>
      </c>
      <c r="N373" s="468">
        <v>18000</v>
      </c>
      <c r="O373" s="468">
        <v>25000</v>
      </c>
      <c r="P373" s="468">
        <v>112000</v>
      </c>
      <c r="Q373" s="427">
        <f>SUM(E373:P373)</f>
        <v>515000</v>
      </c>
    </row>
    <row r="374" spans="1:17" x14ac:dyDescent="0.2">
      <c r="E374" s="222"/>
      <c r="F374" s="288"/>
      <c r="G374" s="469"/>
      <c r="H374" s="288"/>
      <c r="I374" s="293"/>
      <c r="J374" s="288"/>
      <c r="K374" s="288"/>
      <c r="L374" s="288"/>
      <c r="M374" s="288"/>
      <c r="N374" s="288"/>
      <c r="O374" s="288"/>
      <c r="P374" s="288"/>
    </row>
    <row r="375" spans="1:17" x14ac:dyDescent="0.2">
      <c r="A375" s="222">
        <f>A373+1</f>
        <v>21</v>
      </c>
      <c r="B375" s="219" t="s">
        <v>107</v>
      </c>
      <c r="E375" s="470">
        <f t="shared" ref="E375:P375" si="158">SUM(E369:E374)</f>
        <v>136000</v>
      </c>
      <c r="F375" s="470">
        <f t="shared" si="158"/>
        <v>152000</v>
      </c>
      <c r="G375" s="470">
        <f t="shared" si="158"/>
        <v>156000</v>
      </c>
      <c r="H375" s="470">
        <f t="shared" si="158"/>
        <v>178000</v>
      </c>
      <c r="I375" s="470">
        <f t="shared" si="158"/>
        <v>80000</v>
      </c>
      <c r="J375" s="470">
        <f t="shared" si="158"/>
        <v>61000</v>
      </c>
      <c r="K375" s="470">
        <f t="shared" si="158"/>
        <v>51000</v>
      </c>
      <c r="L375" s="470">
        <f t="shared" si="158"/>
        <v>48000</v>
      </c>
      <c r="M375" s="470">
        <f t="shared" si="158"/>
        <v>53000</v>
      </c>
      <c r="N375" s="470">
        <f t="shared" si="158"/>
        <v>54000</v>
      </c>
      <c r="O375" s="470">
        <f t="shared" si="158"/>
        <v>69000</v>
      </c>
      <c r="P375" s="470">
        <f t="shared" si="158"/>
        <v>162000</v>
      </c>
      <c r="Q375" s="427">
        <f>SUM(E375:P375)</f>
        <v>1200000</v>
      </c>
    </row>
    <row r="376" spans="1:17" x14ac:dyDescent="0.2">
      <c r="C376" s="438"/>
      <c r="K376" s="288"/>
    </row>
    <row r="377" spans="1:17" x14ac:dyDescent="0.2">
      <c r="A377" s="446">
        <f>A375+1</f>
        <v>22</v>
      </c>
      <c r="B377" s="447" t="s">
        <v>108</v>
      </c>
      <c r="C377" s="447"/>
      <c r="D377" s="449"/>
      <c r="E377" s="450">
        <f t="shared" ref="E377:Q377" si="159">E365+E375</f>
        <v>14153271.709999997</v>
      </c>
      <c r="F377" s="450">
        <f t="shared" si="159"/>
        <v>13861385.34</v>
      </c>
      <c r="G377" s="450">
        <f t="shared" si="159"/>
        <v>11197014.209999999</v>
      </c>
      <c r="H377" s="450">
        <f t="shared" si="159"/>
        <v>8056985.9600000009</v>
      </c>
      <c r="I377" s="450">
        <f t="shared" si="159"/>
        <v>5653861.5</v>
      </c>
      <c r="J377" s="450">
        <f t="shared" si="159"/>
        <v>4589875.08</v>
      </c>
      <c r="K377" s="450">
        <f t="shared" si="159"/>
        <v>4247751.7700000005</v>
      </c>
      <c r="L377" s="450">
        <f t="shared" si="159"/>
        <v>4232958.08</v>
      </c>
      <c r="M377" s="450">
        <f t="shared" si="159"/>
        <v>4270683.2899999991</v>
      </c>
      <c r="N377" s="450">
        <f t="shared" si="159"/>
        <v>4769658.6400000006</v>
      </c>
      <c r="O377" s="450">
        <f t="shared" si="159"/>
        <v>6761948.6500000022</v>
      </c>
      <c r="P377" s="450">
        <f t="shared" si="159"/>
        <v>10957233.909999996</v>
      </c>
      <c r="Q377" s="450">
        <f t="shared" si="159"/>
        <v>92752628.140000001</v>
      </c>
    </row>
    <row r="378" spans="1:17" x14ac:dyDescent="0.2">
      <c r="A378" s="302"/>
      <c r="B378" s="301"/>
      <c r="C378" s="301"/>
      <c r="D378" s="300"/>
      <c r="E378" s="415"/>
      <c r="F378" s="415"/>
      <c r="G378" s="415"/>
      <c r="H378" s="415"/>
      <c r="I378" s="415"/>
      <c r="J378" s="415"/>
      <c r="K378" s="415"/>
      <c r="L378" s="415"/>
      <c r="M378" s="415"/>
      <c r="N378" s="415"/>
      <c r="O378" s="415"/>
      <c r="P378" s="415"/>
      <c r="Q378" s="415"/>
    </row>
    <row r="379" spans="1:17" x14ac:dyDescent="0.2">
      <c r="A379" s="222" t="str">
        <f>$A$108</f>
        <v>[1] Reflects Normalized Volumes.</v>
      </c>
      <c r="B379" s="301"/>
      <c r="C379" s="301"/>
      <c r="D379" s="300"/>
      <c r="E379" s="415"/>
      <c r="F379" s="415"/>
      <c r="G379" s="415"/>
      <c r="H379" s="415"/>
      <c r="I379" s="415"/>
      <c r="J379" s="415"/>
      <c r="K379" s="415"/>
      <c r="L379" s="415"/>
      <c r="M379" s="415"/>
      <c r="N379" s="415"/>
      <c r="O379" s="415"/>
      <c r="P379" s="415"/>
      <c r="Q379" s="415"/>
    </row>
    <row r="380" spans="1:17" x14ac:dyDescent="0.2">
      <c r="A380" s="460" t="str">
        <f>$A$109</f>
        <v>[2] See Schedule M-2.2 Pages 8 through 21 for detail.</v>
      </c>
      <c r="B380" s="301"/>
      <c r="C380" s="301"/>
      <c r="D380" s="300"/>
      <c r="E380" s="415"/>
      <c r="F380" s="415"/>
      <c r="G380" s="415"/>
      <c r="H380" s="415"/>
      <c r="I380" s="415"/>
      <c r="J380" s="415"/>
      <c r="K380" s="415"/>
      <c r="L380" s="415"/>
      <c r="M380" s="415"/>
      <c r="N380" s="415"/>
      <c r="O380" s="415"/>
      <c r="P380" s="415"/>
      <c r="Q380" s="415"/>
    </row>
    <row r="381" spans="1:17" x14ac:dyDescent="0.2">
      <c r="A381" s="993" t="str">
        <f>CONAME</f>
        <v>Columbia Gas of Kentucky, Inc.</v>
      </c>
      <c r="B381" s="993"/>
      <c r="C381" s="993"/>
      <c r="D381" s="993"/>
      <c r="E381" s="993"/>
      <c r="F381" s="993"/>
      <c r="G381" s="993"/>
      <c r="H381" s="993"/>
      <c r="I381" s="993"/>
      <c r="J381" s="993"/>
      <c r="K381" s="993"/>
      <c r="L381" s="993"/>
      <c r="M381" s="993"/>
      <c r="N381" s="993"/>
      <c r="O381" s="993"/>
      <c r="P381" s="993"/>
      <c r="Q381" s="993"/>
    </row>
    <row r="382" spans="1:17" x14ac:dyDescent="0.2">
      <c r="A382" s="981" t="str">
        <f>case</f>
        <v>Case No. 2016-00162</v>
      </c>
      <c r="B382" s="981"/>
      <c r="C382" s="981"/>
      <c r="D382" s="981"/>
      <c r="E382" s="981"/>
      <c r="F382" s="981"/>
      <c r="G382" s="981"/>
      <c r="H382" s="981"/>
      <c r="I382" s="981"/>
      <c r="J382" s="981"/>
      <c r="K382" s="981"/>
      <c r="L382" s="981"/>
      <c r="M382" s="981"/>
      <c r="N382" s="981"/>
      <c r="O382" s="981"/>
      <c r="P382" s="981"/>
      <c r="Q382" s="981"/>
    </row>
    <row r="383" spans="1:17" x14ac:dyDescent="0.2">
      <c r="A383" s="994" t="s">
        <v>494</v>
      </c>
      <c r="B383" s="994"/>
      <c r="C383" s="994"/>
      <c r="D383" s="994"/>
      <c r="E383" s="994"/>
      <c r="F383" s="994"/>
      <c r="G383" s="994"/>
      <c r="H383" s="994"/>
      <c r="I383" s="994"/>
      <c r="J383" s="994"/>
      <c r="K383" s="994"/>
      <c r="L383" s="994"/>
      <c r="M383" s="994"/>
      <c r="N383" s="994"/>
      <c r="O383" s="994"/>
      <c r="P383" s="994"/>
      <c r="Q383" s="994"/>
    </row>
    <row r="384" spans="1:17" x14ac:dyDescent="0.2">
      <c r="A384" s="993" t="str">
        <f>TYDESC</f>
        <v>For the 12 Months Ended December 31, 2017</v>
      </c>
      <c r="B384" s="993"/>
      <c r="C384" s="993"/>
      <c r="D384" s="993"/>
      <c r="E384" s="993"/>
      <c r="F384" s="993"/>
      <c r="G384" s="993"/>
      <c r="H384" s="993"/>
      <c r="I384" s="993"/>
      <c r="J384" s="993"/>
      <c r="K384" s="993"/>
      <c r="L384" s="993"/>
      <c r="M384" s="993"/>
      <c r="N384" s="993"/>
      <c r="O384" s="993"/>
      <c r="P384" s="993"/>
      <c r="Q384" s="993"/>
    </row>
    <row r="385" spans="1:17" x14ac:dyDescent="0.2">
      <c r="A385" s="991" t="s">
        <v>39</v>
      </c>
      <c r="B385" s="991"/>
      <c r="C385" s="991"/>
      <c r="D385" s="991"/>
      <c r="E385" s="991"/>
      <c r="F385" s="991"/>
      <c r="G385" s="991"/>
      <c r="H385" s="991"/>
      <c r="I385" s="991"/>
      <c r="J385" s="991"/>
      <c r="K385" s="991"/>
      <c r="L385" s="991"/>
      <c r="M385" s="991"/>
      <c r="N385" s="991"/>
      <c r="O385" s="991"/>
      <c r="P385" s="991"/>
      <c r="Q385" s="991"/>
    </row>
    <row r="386" spans="1:17" x14ac:dyDescent="0.2">
      <c r="A386" s="262" t="str">
        <f>$A$52</f>
        <v>Data: __ Base Period _X_ Forecasted Period</v>
      </c>
    </row>
    <row r="387" spans="1:17" x14ac:dyDescent="0.2">
      <c r="A387" s="262" t="str">
        <f>$A$53</f>
        <v>Type of Filing: X Original _ Update _ Revised</v>
      </c>
      <c r="Q387" s="413" t="str">
        <f>$Q$53</f>
        <v>Schedule M-2.2</v>
      </c>
    </row>
    <row r="388" spans="1:17" x14ac:dyDescent="0.2">
      <c r="A388" s="262" t="str">
        <f>$A$54</f>
        <v>Work Paper Reference No(s):</v>
      </c>
      <c r="Q388" s="413" t="s">
        <v>501</v>
      </c>
    </row>
    <row r="389" spans="1:17" x14ac:dyDescent="0.2">
      <c r="A389" s="414" t="str">
        <f>$A$55</f>
        <v>12 Months Forecasted</v>
      </c>
      <c r="Q389" s="413" t="str">
        <f>Witness</f>
        <v>Witness:  M. J. Bell</v>
      </c>
    </row>
    <row r="390" spans="1:17" x14ac:dyDescent="0.2">
      <c r="A390" s="992" t="s">
        <v>194</v>
      </c>
      <c r="B390" s="992"/>
      <c r="C390" s="992"/>
      <c r="D390" s="992"/>
      <c r="E390" s="992"/>
      <c r="F390" s="992"/>
      <c r="G390" s="992"/>
      <c r="H390" s="992"/>
      <c r="I390" s="992"/>
      <c r="J390" s="992"/>
      <c r="K390" s="992"/>
      <c r="L390" s="992"/>
      <c r="M390" s="992"/>
      <c r="N390" s="992"/>
      <c r="O390" s="992"/>
      <c r="P390" s="992"/>
      <c r="Q390" s="992"/>
    </row>
    <row r="391" spans="1:17" x14ac:dyDescent="0.2">
      <c r="A391" s="433"/>
      <c r="B391" s="301"/>
      <c r="C391" s="301"/>
      <c r="D391" s="300"/>
      <c r="E391" s="301"/>
      <c r="F391" s="415"/>
      <c r="G391" s="435"/>
      <c r="H391" s="415"/>
      <c r="I391" s="436"/>
      <c r="J391" s="415"/>
      <c r="K391" s="415"/>
      <c r="L391" s="415"/>
      <c r="M391" s="415"/>
      <c r="N391" s="415"/>
      <c r="O391" s="415"/>
      <c r="P391" s="415"/>
      <c r="Q391" s="301"/>
    </row>
    <row r="392" spans="1:17" x14ac:dyDescent="0.2">
      <c r="A392" s="410" t="s">
        <v>1</v>
      </c>
      <c r="B392" s="224" t="s">
        <v>0</v>
      </c>
      <c r="C392" s="224" t="s">
        <v>41</v>
      </c>
      <c r="D392" s="416" t="s">
        <v>47</v>
      </c>
      <c r="E392" s="224"/>
      <c r="F392" s="417"/>
      <c r="G392" s="418"/>
      <c r="H392" s="417"/>
      <c r="I392" s="419"/>
      <c r="J392" s="417"/>
      <c r="K392" s="417"/>
      <c r="L392" s="417"/>
      <c r="M392" s="417"/>
      <c r="N392" s="417"/>
      <c r="O392" s="417"/>
      <c r="P392" s="417"/>
      <c r="Q392" s="229"/>
    </row>
    <row r="393" spans="1:17" x14ac:dyDescent="0.2">
      <c r="A393" s="281" t="s">
        <v>3</v>
      </c>
      <c r="B393" s="226" t="s">
        <v>40</v>
      </c>
      <c r="C393" s="226" t="s">
        <v>4</v>
      </c>
      <c r="D393" s="420" t="s">
        <v>48</v>
      </c>
      <c r="E393" s="421" t="str">
        <f>B!$D$11</f>
        <v>Jan-17</v>
      </c>
      <c r="F393" s="421" t="str">
        <f>B!$E$11</f>
        <v>Feb-17</v>
      </c>
      <c r="G393" s="421" t="str">
        <f>B!$F$11</f>
        <v>Mar-17</v>
      </c>
      <c r="H393" s="421" t="str">
        <f>B!$G$11</f>
        <v>Apr-17</v>
      </c>
      <c r="I393" s="421" t="str">
        <f>B!$H$11</f>
        <v>May-17</v>
      </c>
      <c r="J393" s="421" t="str">
        <f>B!$I$11</f>
        <v>Jun-17</v>
      </c>
      <c r="K393" s="421" t="str">
        <f>B!$J$11</f>
        <v>Jul-17</v>
      </c>
      <c r="L393" s="421" t="str">
        <f>B!$K$11</f>
        <v>Aug-17</v>
      </c>
      <c r="M393" s="421" t="str">
        <f>B!$L$11</f>
        <v>Sep-17</v>
      </c>
      <c r="N393" s="421" t="str">
        <f>B!$M$11</f>
        <v>Oct-17</v>
      </c>
      <c r="O393" s="421" t="str">
        <f>B!$N$11</f>
        <v>Nov-17</v>
      </c>
      <c r="P393" s="421" t="str">
        <f>B!$O$11</f>
        <v>Dec-17</v>
      </c>
      <c r="Q393" s="422" t="s">
        <v>9</v>
      </c>
    </row>
    <row r="394" spans="1:17" x14ac:dyDescent="0.2">
      <c r="A394" s="410"/>
      <c r="B394" s="229" t="s">
        <v>42</v>
      </c>
      <c r="C394" s="229" t="s">
        <v>43</v>
      </c>
      <c r="D394" s="423" t="s">
        <v>45</v>
      </c>
      <c r="E394" s="424" t="s">
        <v>46</v>
      </c>
      <c r="F394" s="424" t="s">
        <v>49</v>
      </c>
      <c r="G394" s="424" t="s">
        <v>50</v>
      </c>
      <c r="H394" s="424" t="s">
        <v>51</v>
      </c>
      <c r="I394" s="424" t="s">
        <v>52</v>
      </c>
      <c r="J394" s="424" t="s">
        <v>53</v>
      </c>
      <c r="K394" s="425" t="s">
        <v>54</v>
      </c>
      <c r="L394" s="425" t="s">
        <v>55</v>
      </c>
      <c r="M394" s="425" t="s">
        <v>56</v>
      </c>
      <c r="N394" s="425" t="s">
        <v>57</v>
      </c>
      <c r="O394" s="425" t="s">
        <v>58</v>
      </c>
      <c r="P394" s="425" t="s">
        <v>59</v>
      </c>
      <c r="Q394" s="425" t="s">
        <v>203</v>
      </c>
    </row>
    <row r="395" spans="1:17" x14ac:dyDescent="0.2">
      <c r="E395" s="229"/>
      <c r="F395" s="425"/>
      <c r="G395" s="437"/>
      <c r="H395" s="425"/>
      <c r="I395" s="424"/>
      <c r="J395" s="425"/>
      <c r="K395" s="425"/>
      <c r="L395" s="425"/>
      <c r="M395" s="425"/>
      <c r="N395" s="425"/>
      <c r="O395" s="425"/>
      <c r="P395" s="425"/>
      <c r="Q395" s="229"/>
    </row>
    <row r="396" spans="1:17" x14ac:dyDescent="0.2">
      <c r="A396" s="222">
        <v>1</v>
      </c>
      <c r="B396" s="219" t="str">
        <f>B65</f>
        <v>GSR</v>
      </c>
      <c r="C396" s="219" t="str">
        <f>C65</f>
        <v>General Service - Residential</v>
      </c>
    </row>
    <row r="398" spans="1:17" x14ac:dyDescent="0.2">
      <c r="A398" s="222">
        <f>A396+1</f>
        <v>2</v>
      </c>
      <c r="C398" s="223" t="s">
        <v>109</v>
      </c>
      <c r="I398" s="293"/>
      <c r="J398" s="288"/>
    </row>
    <row r="399" spans="1:17" x14ac:dyDescent="0.2">
      <c r="I399" s="293"/>
      <c r="J399" s="288"/>
    </row>
    <row r="400" spans="1:17" x14ac:dyDescent="0.2">
      <c r="A400" s="222">
        <f>A398+1</f>
        <v>3</v>
      </c>
      <c r="C400" s="219" t="s">
        <v>202</v>
      </c>
      <c r="D400" s="471"/>
      <c r="E400" s="472">
        <f>B!D17</f>
        <v>99289</v>
      </c>
      <c r="F400" s="472">
        <f>B!E17</f>
        <v>99473</v>
      </c>
      <c r="G400" s="472">
        <f>B!F17</f>
        <v>99542</v>
      </c>
      <c r="H400" s="472">
        <f>B!G17</f>
        <v>99522</v>
      </c>
      <c r="I400" s="472">
        <f>B!H17</f>
        <v>99040</v>
      </c>
      <c r="J400" s="472">
        <f>B!I17</f>
        <v>98094</v>
      </c>
      <c r="K400" s="472">
        <f>B!J17</f>
        <v>97239</v>
      </c>
      <c r="L400" s="472">
        <f>B!K17</f>
        <v>97617</v>
      </c>
      <c r="M400" s="472">
        <f>B!L17</f>
        <v>96979</v>
      </c>
      <c r="N400" s="472">
        <f>B!M17</f>
        <v>96955</v>
      </c>
      <c r="O400" s="472">
        <f>B!N17</f>
        <v>97991</v>
      </c>
      <c r="P400" s="472">
        <f>B!O17</f>
        <v>98925</v>
      </c>
      <c r="Q400" s="473">
        <f>SUM(E400:P400)</f>
        <v>1180666</v>
      </c>
    </row>
    <row r="401" spans="1:17" x14ac:dyDescent="0.2">
      <c r="A401" s="222">
        <f>A400+1</f>
        <v>4</v>
      </c>
      <c r="C401" s="219" t="s">
        <v>210</v>
      </c>
      <c r="D401" s="781">
        <f>Input!H19</f>
        <v>15</v>
      </c>
      <c r="E401" s="427">
        <f t="shared" ref="E401:P401" si="160">ROUND(E400*$D$401,2)</f>
        <v>1489335</v>
      </c>
      <c r="F401" s="427">
        <f t="shared" si="160"/>
        <v>1492095</v>
      </c>
      <c r="G401" s="427">
        <f t="shared" si="160"/>
        <v>1493130</v>
      </c>
      <c r="H401" s="427">
        <f t="shared" si="160"/>
        <v>1492830</v>
      </c>
      <c r="I401" s="427">
        <f t="shared" si="160"/>
        <v>1485600</v>
      </c>
      <c r="J401" s="427">
        <f t="shared" si="160"/>
        <v>1471410</v>
      </c>
      <c r="K401" s="427">
        <f t="shared" si="160"/>
        <v>1458585</v>
      </c>
      <c r="L401" s="427">
        <f t="shared" si="160"/>
        <v>1464255</v>
      </c>
      <c r="M401" s="427">
        <f t="shared" si="160"/>
        <v>1454685</v>
      </c>
      <c r="N401" s="427">
        <f t="shared" si="160"/>
        <v>1454325</v>
      </c>
      <c r="O401" s="427">
        <f t="shared" si="160"/>
        <v>1469865</v>
      </c>
      <c r="P401" s="427">
        <f t="shared" si="160"/>
        <v>1483875</v>
      </c>
      <c r="Q401" s="427">
        <f>SUM(E401:P401)</f>
        <v>17709990</v>
      </c>
    </row>
    <row r="402" spans="1:17" x14ac:dyDescent="0.2">
      <c r="A402" s="222">
        <f>A401+1</f>
        <v>5</v>
      </c>
      <c r="C402" s="219" t="s">
        <v>211</v>
      </c>
      <c r="D402" s="781">
        <f>Input!J19</f>
        <v>2.25</v>
      </c>
      <c r="E402" s="427">
        <f t="shared" ref="E402:P402" si="161">ROUND(E400*$D$402,2)</f>
        <v>223400.25</v>
      </c>
      <c r="F402" s="427">
        <f t="shared" si="161"/>
        <v>223814.25</v>
      </c>
      <c r="G402" s="427">
        <f t="shared" si="161"/>
        <v>223969.5</v>
      </c>
      <c r="H402" s="427">
        <f t="shared" si="161"/>
        <v>223924.5</v>
      </c>
      <c r="I402" s="427">
        <f t="shared" si="161"/>
        <v>222840</v>
      </c>
      <c r="J402" s="427">
        <f t="shared" si="161"/>
        <v>220711.5</v>
      </c>
      <c r="K402" s="427">
        <f t="shared" si="161"/>
        <v>218787.75</v>
      </c>
      <c r="L402" s="427">
        <f t="shared" si="161"/>
        <v>219638.25</v>
      </c>
      <c r="M402" s="427">
        <f t="shared" si="161"/>
        <v>218202.75</v>
      </c>
      <c r="N402" s="427">
        <f t="shared" si="161"/>
        <v>218148.75</v>
      </c>
      <c r="O402" s="427">
        <f t="shared" si="161"/>
        <v>220479.75</v>
      </c>
      <c r="P402" s="427">
        <f t="shared" si="161"/>
        <v>222581.25</v>
      </c>
      <c r="Q402" s="427">
        <f>SUM(E402:P402)</f>
        <v>2656498.5</v>
      </c>
    </row>
    <row r="403" spans="1:17" x14ac:dyDescent="0.2">
      <c r="D403" s="474"/>
      <c r="E403" s="475"/>
      <c r="I403" s="293"/>
      <c r="J403" s="288"/>
    </row>
    <row r="404" spans="1:17" x14ac:dyDescent="0.2">
      <c r="A404" s="222">
        <f>A402+1</f>
        <v>6</v>
      </c>
      <c r="C404" s="240" t="s">
        <v>209</v>
      </c>
      <c r="D404" s="474"/>
      <c r="E404" s="476">
        <f>'C'!D17</f>
        <v>1331907.1000000001</v>
      </c>
      <c r="F404" s="476">
        <f>'C'!E17</f>
        <v>1291151.8</v>
      </c>
      <c r="G404" s="476">
        <f>'C'!F17</f>
        <v>968403</v>
      </c>
      <c r="H404" s="476">
        <f>'C'!G17</f>
        <v>552553.4</v>
      </c>
      <c r="I404" s="476">
        <f>'C'!H17</f>
        <v>259776.40000000002</v>
      </c>
      <c r="J404" s="476">
        <f>'C'!I17</f>
        <v>123911.3</v>
      </c>
      <c r="K404" s="476">
        <f>'C'!J17</f>
        <v>88930</v>
      </c>
      <c r="L404" s="476">
        <f>'C'!K17</f>
        <v>85940.7</v>
      </c>
      <c r="M404" s="476">
        <f>'C'!L17</f>
        <v>88922.9</v>
      </c>
      <c r="N404" s="476">
        <f>'C'!M17</f>
        <v>141784.29999999999</v>
      </c>
      <c r="O404" s="476">
        <f>'C'!N17</f>
        <v>408542.4</v>
      </c>
      <c r="P404" s="476">
        <f>'C'!O17</f>
        <v>906257.2</v>
      </c>
      <c r="Q404" s="477">
        <f>SUM(E404:P404)</f>
        <v>6248080.5000000009</v>
      </c>
    </row>
    <row r="405" spans="1:17" x14ac:dyDescent="0.2">
      <c r="A405" s="222">
        <f>A404+1</f>
        <v>7</v>
      </c>
      <c r="C405" s="301" t="s">
        <v>212</v>
      </c>
      <c r="D405" s="782">
        <f>Input!C19</f>
        <v>2.2665999999999999</v>
      </c>
      <c r="E405" s="427">
        <f t="shared" ref="E405:P405" si="162">ROUND(E404*$D$405,2)</f>
        <v>3018900.63</v>
      </c>
      <c r="F405" s="427">
        <f t="shared" si="162"/>
        <v>2926524.67</v>
      </c>
      <c r="G405" s="427">
        <f t="shared" si="162"/>
        <v>2194982.2400000002</v>
      </c>
      <c r="H405" s="427">
        <f t="shared" si="162"/>
        <v>1252417.54</v>
      </c>
      <c r="I405" s="427">
        <f t="shared" si="162"/>
        <v>588809.18999999994</v>
      </c>
      <c r="J405" s="427">
        <f t="shared" si="162"/>
        <v>280857.34999999998</v>
      </c>
      <c r="K405" s="427">
        <f t="shared" si="162"/>
        <v>201568.74</v>
      </c>
      <c r="L405" s="427">
        <f t="shared" si="162"/>
        <v>194793.19</v>
      </c>
      <c r="M405" s="427">
        <f t="shared" si="162"/>
        <v>201552.65</v>
      </c>
      <c r="N405" s="427">
        <f t="shared" si="162"/>
        <v>321368.28999999998</v>
      </c>
      <c r="O405" s="427">
        <f t="shared" si="162"/>
        <v>926002.2</v>
      </c>
      <c r="P405" s="427">
        <f t="shared" si="162"/>
        <v>2054122.57</v>
      </c>
      <c r="Q405" s="427">
        <f>SUM(E405:P405)</f>
        <v>14161899.259999998</v>
      </c>
    </row>
    <row r="406" spans="1:17" x14ac:dyDescent="0.2">
      <c r="C406" s="301"/>
      <c r="D406" s="479"/>
      <c r="E406" s="480"/>
      <c r="F406" s="480"/>
      <c r="G406" s="480"/>
      <c r="H406" s="480"/>
      <c r="I406" s="480"/>
      <c r="J406" s="480"/>
      <c r="K406" s="480"/>
      <c r="L406" s="480"/>
      <c r="M406" s="480"/>
      <c r="N406" s="480"/>
      <c r="O406" s="480"/>
      <c r="P406" s="480"/>
      <c r="Q406" s="481"/>
    </row>
    <row r="407" spans="1:17" x14ac:dyDescent="0.2">
      <c r="A407" s="222">
        <f>A405+1</f>
        <v>8</v>
      </c>
      <c r="C407" s="219" t="s">
        <v>204</v>
      </c>
      <c r="D407" s="479"/>
      <c r="E407" s="427">
        <f t="shared" ref="E407:O407" si="163">E401+E402+E405</f>
        <v>4731635.88</v>
      </c>
      <c r="F407" s="427">
        <f t="shared" si="163"/>
        <v>4642433.92</v>
      </c>
      <c r="G407" s="427">
        <f t="shared" si="163"/>
        <v>3912081.74</v>
      </c>
      <c r="H407" s="427">
        <f t="shared" si="163"/>
        <v>2969172.04</v>
      </c>
      <c r="I407" s="427">
        <f t="shared" si="163"/>
        <v>2297249.19</v>
      </c>
      <c r="J407" s="427">
        <f t="shared" si="163"/>
        <v>1972978.85</v>
      </c>
      <c r="K407" s="427">
        <f t="shared" si="163"/>
        <v>1878941.49</v>
      </c>
      <c r="L407" s="427">
        <f t="shared" si="163"/>
        <v>1878686.44</v>
      </c>
      <c r="M407" s="427">
        <f t="shared" si="163"/>
        <v>1874440.4</v>
      </c>
      <c r="N407" s="427">
        <f t="shared" si="163"/>
        <v>1993842.04</v>
      </c>
      <c r="O407" s="427">
        <f t="shared" si="163"/>
        <v>2616346.9500000002</v>
      </c>
      <c r="P407" s="427">
        <f>P401+P402+P405</f>
        <v>3760578.8200000003</v>
      </c>
      <c r="Q407" s="427">
        <f>SUM(E407:P407)</f>
        <v>34528387.760000005</v>
      </c>
    </row>
    <row r="408" spans="1:17" x14ac:dyDescent="0.2">
      <c r="C408" s="240"/>
      <c r="D408" s="479"/>
      <c r="E408" s="471"/>
      <c r="F408" s="471"/>
      <c r="G408" s="471"/>
      <c r="H408" s="471"/>
      <c r="I408" s="482"/>
      <c r="J408" s="482"/>
      <c r="K408" s="471"/>
      <c r="L408" s="471"/>
      <c r="M408" s="471"/>
      <c r="N408" s="471"/>
      <c r="O408" s="471"/>
      <c r="P408" s="471"/>
      <c r="Q408" s="471"/>
    </row>
    <row r="409" spans="1:17" x14ac:dyDescent="0.2">
      <c r="A409" s="222">
        <f>A407+1</f>
        <v>9</v>
      </c>
      <c r="C409" s="240" t="s">
        <v>208</v>
      </c>
      <c r="D409" s="782">
        <f>EGC</f>
        <v>2.2090999999999998</v>
      </c>
      <c r="E409" s="483">
        <f t="shared" ref="E409:O409" si="164">ROUND(E404*$D$409,2)</f>
        <v>2942315.97</v>
      </c>
      <c r="F409" s="483">
        <f t="shared" si="164"/>
        <v>2852283.44</v>
      </c>
      <c r="G409" s="483">
        <f t="shared" si="164"/>
        <v>2139299.0699999998</v>
      </c>
      <c r="H409" s="483">
        <f t="shared" si="164"/>
        <v>1220645.72</v>
      </c>
      <c r="I409" s="483">
        <f t="shared" si="164"/>
        <v>573872.05000000005</v>
      </c>
      <c r="J409" s="483">
        <f t="shared" si="164"/>
        <v>273732.45</v>
      </c>
      <c r="K409" s="483">
        <f t="shared" si="164"/>
        <v>196455.26</v>
      </c>
      <c r="L409" s="483">
        <f t="shared" si="164"/>
        <v>189851.6</v>
      </c>
      <c r="M409" s="483">
        <f t="shared" si="164"/>
        <v>196439.58</v>
      </c>
      <c r="N409" s="483">
        <f t="shared" si="164"/>
        <v>313215.7</v>
      </c>
      <c r="O409" s="483">
        <f t="shared" si="164"/>
        <v>902511.02</v>
      </c>
      <c r="P409" s="483">
        <f>ROUND(P404*$D$409,2)</f>
        <v>2002012.78</v>
      </c>
      <c r="Q409" s="483">
        <f>SUM(E409:P409)</f>
        <v>13802634.639999999</v>
      </c>
    </row>
    <row r="410" spans="1:17" x14ac:dyDescent="0.2">
      <c r="C410" s="431"/>
      <c r="D410" s="474"/>
      <c r="E410" s="484"/>
      <c r="F410" s="484"/>
      <c r="G410" s="484"/>
      <c r="H410" s="484"/>
      <c r="I410" s="484"/>
      <c r="J410" s="484"/>
      <c r="K410" s="484"/>
      <c r="L410" s="484"/>
      <c r="M410" s="484"/>
      <c r="N410" s="484"/>
      <c r="O410" s="484"/>
      <c r="P410" s="484"/>
      <c r="Q410" s="484"/>
    </row>
    <row r="411" spans="1:17" x14ac:dyDescent="0.2">
      <c r="A411" s="302">
        <f>A409+1</f>
        <v>10</v>
      </c>
      <c r="B411" s="301"/>
      <c r="C411" s="300" t="s">
        <v>206</v>
      </c>
      <c r="D411" s="485"/>
      <c r="E411" s="486">
        <f>E407+E409</f>
        <v>7673951.8499999996</v>
      </c>
      <c r="F411" s="486">
        <f t="shared" ref="F411:O411" si="165">F407+F409</f>
        <v>7494717.3599999994</v>
      </c>
      <c r="G411" s="486">
        <f t="shared" si="165"/>
        <v>6051380.8100000005</v>
      </c>
      <c r="H411" s="486">
        <f t="shared" si="165"/>
        <v>4189817.76</v>
      </c>
      <c r="I411" s="486">
        <f t="shared" si="165"/>
        <v>2871121.24</v>
      </c>
      <c r="J411" s="486">
        <f t="shared" si="165"/>
        <v>2246711.3000000003</v>
      </c>
      <c r="K411" s="486">
        <f t="shared" si="165"/>
        <v>2075396.75</v>
      </c>
      <c r="L411" s="486">
        <f t="shared" si="165"/>
        <v>2068538.04</v>
      </c>
      <c r="M411" s="486">
        <f t="shared" si="165"/>
        <v>2070879.98</v>
      </c>
      <c r="N411" s="486">
        <f t="shared" si="165"/>
        <v>2307057.7400000002</v>
      </c>
      <c r="O411" s="486">
        <f t="shared" si="165"/>
        <v>3518857.97</v>
      </c>
      <c r="P411" s="486">
        <f>P407+P409</f>
        <v>5762591.6000000006</v>
      </c>
      <c r="Q411" s="486">
        <f>SUM(E411:P411)</f>
        <v>48331022.400000006</v>
      </c>
    </row>
    <row r="412" spans="1:17" x14ac:dyDescent="0.2">
      <c r="C412" s="240"/>
      <c r="D412" s="474"/>
      <c r="E412" s="471"/>
      <c r="F412" s="471"/>
      <c r="G412" s="471"/>
      <c r="H412" s="471"/>
      <c r="I412" s="471"/>
      <c r="J412" s="471"/>
      <c r="K412" s="471"/>
      <c r="L412" s="471"/>
      <c r="M412" s="471"/>
      <c r="N412" s="471"/>
      <c r="O412" s="471"/>
      <c r="P412" s="471"/>
      <c r="Q412" s="471"/>
    </row>
    <row r="413" spans="1:17" x14ac:dyDescent="0.2">
      <c r="A413" s="222">
        <f>A411+1</f>
        <v>11</v>
      </c>
      <c r="C413" s="240" t="s">
        <v>196</v>
      </c>
      <c r="D413" s="487"/>
      <c r="E413" s="471"/>
      <c r="F413" s="482"/>
      <c r="G413" s="482"/>
      <c r="H413" s="482"/>
      <c r="I413" s="482"/>
      <c r="J413" s="482"/>
      <c r="K413" s="482"/>
      <c r="L413" s="471"/>
      <c r="M413" s="471"/>
      <c r="N413" s="471"/>
      <c r="O413" s="471"/>
      <c r="P413" s="471"/>
      <c r="Q413" s="471"/>
    </row>
    <row r="414" spans="1:17" x14ac:dyDescent="0.2">
      <c r="A414" s="222">
        <f>A413+1</f>
        <v>12</v>
      </c>
      <c r="C414" s="219" t="s">
        <v>213</v>
      </c>
      <c r="D414" s="782">
        <f>Input!K19</f>
        <v>0.69</v>
      </c>
      <c r="E414" s="427">
        <f t="shared" ref="E414:P414" si="166">ROUND(E400*$D$414,2)</f>
        <v>68509.41</v>
      </c>
      <c r="F414" s="427">
        <f t="shared" si="166"/>
        <v>68636.37</v>
      </c>
      <c r="G414" s="427">
        <f t="shared" si="166"/>
        <v>68683.98</v>
      </c>
      <c r="H414" s="427">
        <f t="shared" si="166"/>
        <v>68670.179999999993</v>
      </c>
      <c r="I414" s="427">
        <f t="shared" si="166"/>
        <v>68337.600000000006</v>
      </c>
      <c r="J414" s="427">
        <f t="shared" si="166"/>
        <v>67684.86</v>
      </c>
      <c r="K414" s="427">
        <f t="shared" si="166"/>
        <v>67094.91</v>
      </c>
      <c r="L414" s="427">
        <f t="shared" si="166"/>
        <v>67355.73</v>
      </c>
      <c r="M414" s="427">
        <f t="shared" si="166"/>
        <v>66915.509999999995</v>
      </c>
      <c r="N414" s="427">
        <f t="shared" si="166"/>
        <v>66898.95</v>
      </c>
      <c r="O414" s="427">
        <f t="shared" si="166"/>
        <v>67613.789999999994</v>
      </c>
      <c r="P414" s="427">
        <f t="shared" si="166"/>
        <v>68258.25</v>
      </c>
      <c r="Q414" s="427">
        <f>SUM(E414:P414)</f>
        <v>814659.54</v>
      </c>
    </row>
    <row r="415" spans="1:17" x14ac:dyDescent="0.2">
      <c r="A415" s="222">
        <f>A414+1</f>
        <v>13</v>
      </c>
      <c r="C415" s="240" t="s">
        <v>214</v>
      </c>
      <c r="D415" s="782">
        <f>Input!N19</f>
        <v>1.6E-2</v>
      </c>
      <c r="E415" s="286">
        <f t="shared" ref="E415:P415" si="167">ROUND(E404*$D$415,2)</f>
        <v>21310.51</v>
      </c>
      <c r="F415" s="286">
        <f t="shared" si="167"/>
        <v>20658.43</v>
      </c>
      <c r="G415" s="286">
        <f t="shared" si="167"/>
        <v>15494.45</v>
      </c>
      <c r="H415" s="286">
        <f t="shared" si="167"/>
        <v>8840.85</v>
      </c>
      <c r="I415" s="286">
        <f t="shared" si="167"/>
        <v>4156.42</v>
      </c>
      <c r="J415" s="286">
        <f t="shared" si="167"/>
        <v>1982.58</v>
      </c>
      <c r="K415" s="286">
        <f t="shared" si="167"/>
        <v>1422.88</v>
      </c>
      <c r="L415" s="286">
        <f t="shared" si="167"/>
        <v>1375.05</v>
      </c>
      <c r="M415" s="286">
        <f t="shared" si="167"/>
        <v>1422.77</v>
      </c>
      <c r="N415" s="286">
        <f t="shared" si="167"/>
        <v>2268.5500000000002</v>
      </c>
      <c r="O415" s="286">
        <f t="shared" si="167"/>
        <v>6536.68</v>
      </c>
      <c r="P415" s="286">
        <f t="shared" si="167"/>
        <v>14500.12</v>
      </c>
      <c r="Q415" s="429">
        <f>SUM(E415:P415)</f>
        <v>99969.290000000008</v>
      </c>
    </row>
    <row r="416" spans="1:17" x14ac:dyDescent="0.2">
      <c r="A416" s="222">
        <f>A415+1</f>
        <v>14</v>
      </c>
      <c r="C416" s="222" t="s">
        <v>215</v>
      </c>
      <c r="D416" s="782">
        <f>Input!L19</f>
        <v>5.9700000000000003E-2</v>
      </c>
      <c r="E416" s="431">
        <f t="shared" ref="E416:P416" si="168">ROUND(E404*$D$416,2)</f>
        <v>79514.850000000006</v>
      </c>
      <c r="F416" s="431">
        <f t="shared" si="168"/>
        <v>77081.759999999995</v>
      </c>
      <c r="G416" s="431">
        <f t="shared" si="168"/>
        <v>57813.66</v>
      </c>
      <c r="H416" s="431">
        <f t="shared" si="168"/>
        <v>32987.440000000002</v>
      </c>
      <c r="I416" s="431">
        <f t="shared" si="168"/>
        <v>15508.65</v>
      </c>
      <c r="J416" s="431">
        <f t="shared" si="168"/>
        <v>7397.5</v>
      </c>
      <c r="K416" s="431">
        <f t="shared" si="168"/>
        <v>5309.12</v>
      </c>
      <c r="L416" s="431">
        <f t="shared" si="168"/>
        <v>5130.66</v>
      </c>
      <c r="M416" s="431">
        <f t="shared" si="168"/>
        <v>5308.7</v>
      </c>
      <c r="N416" s="431">
        <f t="shared" si="168"/>
        <v>8464.52</v>
      </c>
      <c r="O416" s="431">
        <f t="shared" si="168"/>
        <v>24389.98</v>
      </c>
      <c r="P416" s="431">
        <f t="shared" si="168"/>
        <v>54103.55</v>
      </c>
      <c r="Q416" s="431">
        <f>SUM(E416:P416)</f>
        <v>373010.38999999996</v>
      </c>
    </row>
    <row r="417" spans="1:17" x14ac:dyDescent="0.2">
      <c r="A417" s="222">
        <f>A416+1</f>
        <v>15</v>
      </c>
      <c r="C417" s="219" t="s">
        <v>216</v>
      </c>
      <c r="D417" s="471"/>
      <c r="E417" s="427">
        <f t="shared" ref="E417:O417" si="169">SUM(E414:E416)</f>
        <v>169334.77000000002</v>
      </c>
      <c r="F417" s="427">
        <f t="shared" si="169"/>
        <v>166376.56</v>
      </c>
      <c r="G417" s="427">
        <f t="shared" si="169"/>
        <v>141992.09</v>
      </c>
      <c r="H417" s="427">
        <f t="shared" si="169"/>
        <v>110498.47</v>
      </c>
      <c r="I417" s="427">
        <f t="shared" si="169"/>
        <v>88002.67</v>
      </c>
      <c r="J417" s="427">
        <f t="shared" si="169"/>
        <v>77064.94</v>
      </c>
      <c r="K417" s="427">
        <f t="shared" si="169"/>
        <v>73826.91</v>
      </c>
      <c r="L417" s="427">
        <f t="shared" si="169"/>
        <v>73861.440000000002</v>
      </c>
      <c r="M417" s="427">
        <f t="shared" si="169"/>
        <v>73646.98</v>
      </c>
      <c r="N417" s="427">
        <f t="shared" si="169"/>
        <v>77632.02</v>
      </c>
      <c r="O417" s="427">
        <f t="shared" si="169"/>
        <v>98540.45</v>
      </c>
      <c r="P417" s="427">
        <f>SUM(P414:P416)</f>
        <v>136861.91999999998</v>
      </c>
      <c r="Q417" s="427">
        <f>SUM(E417:P417)</f>
        <v>1287639.22</v>
      </c>
    </row>
    <row r="418" spans="1:17" x14ac:dyDescent="0.2">
      <c r="D418" s="471"/>
      <c r="E418" s="471"/>
      <c r="F418" s="482"/>
      <c r="G418" s="482"/>
      <c r="H418" s="482"/>
      <c r="I418" s="482"/>
      <c r="J418" s="482"/>
      <c r="K418" s="482"/>
      <c r="L418" s="471"/>
      <c r="M418" s="471"/>
      <c r="N418" s="471"/>
      <c r="O418" s="471"/>
      <c r="P418" s="471"/>
      <c r="Q418" s="471"/>
    </row>
    <row r="419" spans="1:17" ht="10.8" thickBot="1" x14ac:dyDescent="0.25">
      <c r="A419" s="488">
        <f>A417+1</f>
        <v>16</v>
      </c>
      <c r="B419" s="489"/>
      <c r="C419" s="490" t="s">
        <v>205</v>
      </c>
      <c r="D419" s="491"/>
      <c r="E419" s="492">
        <f>E411+E417</f>
        <v>7843286.6199999992</v>
      </c>
      <c r="F419" s="492">
        <f t="shared" ref="F419:O419" si="170">F411+F417</f>
        <v>7661093.919999999</v>
      </c>
      <c r="G419" s="492">
        <f t="shared" si="170"/>
        <v>6193372.9000000004</v>
      </c>
      <c r="H419" s="492">
        <f t="shared" si="170"/>
        <v>4300316.2299999995</v>
      </c>
      <c r="I419" s="492">
        <f t="shared" si="170"/>
        <v>2959123.91</v>
      </c>
      <c r="J419" s="492">
        <f t="shared" si="170"/>
        <v>2323776.2400000002</v>
      </c>
      <c r="K419" s="492">
        <f t="shared" si="170"/>
        <v>2149223.66</v>
      </c>
      <c r="L419" s="492">
        <f t="shared" si="170"/>
        <v>2142399.48</v>
      </c>
      <c r="M419" s="492">
        <f t="shared" si="170"/>
        <v>2144526.96</v>
      </c>
      <c r="N419" s="492">
        <f t="shared" si="170"/>
        <v>2384689.7600000002</v>
      </c>
      <c r="O419" s="492">
        <f t="shared" si="170"/>
        <v>3617398.4200000004</v>
      </c>
      <c r="P419" s="492">
        <f>P411+P417</f>
        <v>5899453.5200000005</v>
      </c>
      <c r="Q419" s="492">
        <f>SUM(E419:P419)</f>
        <v>49618661.620000005</v>
      </c>
    </row>
    <row r="420" spans="1:17" ht="10.8" thickTop="1" x14ac:dyDescent="0.2">
      <c r="A420" s="302"/>
      <c r="B420" s="301"/>
      <c r="C420" s="301"/>
      <c r="D420" s="300"/>
      <c r="E420" s="493"/>
      <c r="F420" s="493"/>
      <c r="G420" s="493"/>
      <c r="H420" s="493"/>
      <c r="I420" s="493"/>
      <c r="J420" s="493"/>
      <c r="K420" s="493"/>
      <c r="L420" s="493"/>
      <c r="M420" s="493"/>
      <c r="N420" s="493"/>
      <c r="O420" s="493"/>
      <c r="P420" s="493"/>
      <c r="Q420" s="493"/>
    </row>
    <row r="421" spans="1:17" x14ac:dyDescent="0.2">
      <c r="A421" s="302"/>
      <c r="B421" s="301"/>
      <c r="C421" s="301"/>
      <c r="D421" s="300"/>
      <c r="E421" s="493"/>
      <c r="F421" s="493"/>
      <c r="G421" s="493"/>
      <c r="H421" s="493"/>
      <c r="I421" s="493"/>
      <c r="J421" s="493"/>
      <c r="K421" s="493"/>
      <c r="L421" s="493"/>
      <c r="M421" s="493"/>
      <c r="N421" s="493"/>
      <c r="O421" s="493"/>
      <c r="P421" s="493"/>
      <c r="Q421" s="493"/>
    </row>
    <row r="422" spans="1:17" x14ac:dyDescent="0.2">
      <c r="A422" s="302">
        <f>A419+1</f>
        <v>17</v>
      </c>
      <c r="B422" s="301" t="str">
        <f>B72</f>
        <v>G1C</v>
      </c>
      <c r="C422" s="301" t="str">
        <f>C72</f>
        <v>LG&amp;E Commercial</v>
      </c>
      <c r="D422" s="300"/>
      <c r="E422" s="301"/>
      <c r="F422" s="415"/>
      <c r="G422" s="435"/>
      <c r="H422" s="415"/>
      <c r="I422" s="436"/>
      <c r="J422" s="415"/>
      <c r="K422" s="415"/>
      <c r="L422" s="415"/>
      <c r="M422" s="415"/>
      <c r="N422" s="415"/>
      <c r="O422" s="415"/>
      <c r="P422" s="415"/>
      <c r="Q422" s="301"/>
    </row>
    <row r="423" spans="1:17" x14ac:dyDescent="0.2">
      <c r="A423" s="302"/>
      <c r="B423" s="301"/>
      <c r="C423" s="301"/>
      <c r="D423" s="300"/>
      <c r="E423" s="301"/>
      <c r="F423" s="415"/>
      <c r="G423" s="435"/>
      <c r="H423" s="415"/>
      <c r="I423" s="436"/>
      <c r="J423" s="415"/>
      <c r="K423" s="415"/>
      <c r="L423" s="415"/>
      <c r="M423" s="415"/>
      <c r="N423" s="415"/>
      <c r="O423" s="415"/>
      <c r="P423" s="415"/>
      <c r="Q423" s="301"/>
    </row>
    <row r="424" spans="1:17" x14ac:dyDescent="0.2">
      <c r="A424" s="302">
        <f>A422+1</f>
        <v>18</v>
      </c>
      <c r="B424" s="301"/>
      <c r="C424" s="494" t="s">
        <v>111</v>
      </c>
      <c r="D424" s="300"/>
      <c r="E424" s="301"/>
      <c r="F424" s="415"/>
      <c r="G424" s="435"/>
      <c r="H424" s="415"/>
      <c r="I424" s="436"/>
      <c r="J424" s="415"/>
      <c r="K424" s="415"/>
      <c r="L424" s="415"/>
      <c r="M424" s="415"/>
      <c r="N424" s="415"/>
      <c r="O424" s="415"/>
      <c r="P424" s="415"/>
      <c r="Q424" s="301"/>
    </row>
    <row r="425" spans="1:17" x14ac:dyDescent="0.2">
      <c r="A425" s="302"/>
      <c r="B425" s="301"/>
      <c r="C425" s="301"/>
      <c r="D425" s="300"/>
      <c r="E425" s="301"/>
      <c r="F425" s="495"/>
      <c r="G425" s="496"/>
      <c r="H425" s="495"/>
      <c r="I425" s="497"/>
      <c r="J425" s="495"/>
      <c r="K425" s="495"/>
      <c r="L425" s="415"/>
      <c r="M425" s="415"/>
      <c r="N425" s="415"/>
      <c r="O425" s="415"/>
      <c r="P425" s="415"/>
      <c r="Q425" s="301"/>
    </row>
    <row r="426" spans="1:17" x14ac:dyDescent="0.2">
      <c r="A426" s="302">
        <f>A424+1</f>
        <v>19</v>
      </c>
      <c r="B426" s="301"/>
      <c r="C426" s="301" t="s">
        <v>202</v>
      </c>
      <c r="D426" s="300"/>
      <c r="E426" s="498">
        <f>B!D22</f>
        <v>3</v>
      </c>
      <c r="F426" s="498">
        <f>B!E22</f>
        <v>3</v>
      </c>
      <c r="G426" s="498">
        <f>B!F22</f>
        <v>4</v>
      </c>
      <c r="H426" s="498">
        <f>B!G22</f>
        <v>4</v>
      </c>
      <c r="I426" s="498">
        <f>B!H22</f>
        <v>4</v>
      </c>
      <c r="J426" s="498">
        <f>B!I22</f>
        <v>4</v>
      </c>
      <c r="K426" s="498">
        <f>B!J22</f>
        <v>4</v>
      </c>
      <c r="L426" s="498">
        <f>B!K22</f>
        <v>3</v>
      </c>
      <c r="M426" s="498">
        <f>B!L22</f>
        <v>3</v>
      </c>
      <c r="N426" s="498">
        <f>B!M22</f>
        <v>3</v>
      </c>
      <c r="O426" s="498">
        <f>B!N22</f>
        <v>3</v>
      </c>
      <c r="P426" s="498">
        <f>B!O22</f>
        <v>3</v>
      </c>
      <c r="Q426" s="499">
        <f>SUM(E426:P426)</f>
        <v>41</v>
      </c>
    </row>
    <row r="427" spans="1:17" x14ac:dyDescent="0.2">
      <c r="A427" s="302">
        <f>A426+1</f>
        <v>20</v>
      </c>
      <c r="B427" s="301"/>
      <c r="C427" s="301" t="s">
        <v>210</v>
      </c>
      <c r="D427" s="781">
        <f>Input!H20</f>
        <v>56.92</v>
      </c>
      <c r="E427" s="486">
        <f t="shared" ref="E427:P427" si="171">ROUND(E426*$D$427,2)</f>
        <v>170.76</v>
      </c>
      <c r="F427" s="486">
        <f t="shared" si="171"/>
        <v>170.76</v>
      </c>
      <c r="G427" s="486">
        <f t="shared" si="171"/>
        <v>227.68</v>
      </c>
      <c r="H427" s="486">
        <f t="shared" si="171"/>
        <v>227.68</v>
      </c>
      <c r="I427" s="486">
        <f t="shared" si="171"/>
        <v>227.68</v>
      </c>
      <c r="J427" s="486">
        <f t="shared" si="171"/>
        <v>227.68</v>
      </c>
      <c r="K427" s="486">
        <f t="shared" si="171"/>
        <v>227.68</v>
      </c>
      <c r="L427" s="486">
        <f t="shared" si="171"/>
        <v>170.76</v>
      </c>
      <c r="M427" s="486">
        <f t="shared" si="171"/>
        <v>170.76</v>
      </c>
      <c r="N427" s="486">
        <f t="shared" si="171"/>
        <v>170.76</v>
      </c>
      <c r="O427" s="486">
        <f t="shared" si="171"/>
        <v>170.76</v>
      </c>
      <c r="P427" s="486">
        <f t="shared" si="171"/>
        <v>170.76</v>
      </c>
      <c r="Q427" s="486">
        <f>SUM(E427:P427)</f>
        <v>2333.7200000000003</v>
      </c>
    </row>
    <row r="428" spans="1:17" x14ac:dyDescent="0.2">
      <c r="A428" s="302"/>
      <c r="B428" s="301"/>
      <c r="C428" s="301"/>
      <c r="D428" s="286"/>
      <c r="E428" s="301"/>
      <c r="F428" s="495"/>
      <c r="G428" s="496"/>
      <c r="H428" s="495"/>
      <c r="I428" s="497"/>
      <c r="J428" s="495"/>
      <c r="K428" s="495"/>
      <c r="L428" s="415"/>
      <c r="M428" s="415"/>
      <c r="N428" s="415"/>
      <c r="O428" s="415"/>
      <c r="P428" s="415"/>
      <c r="Q428" s="301"/>
    </row>
    <row r="429" spans="1:17" x14ac:dyDescent="0.2">
      <c r="A429" s="302">
        <f>A427+1</f>
        <v>21</v>
      </c>
      <c r="B429" s="301"/>
      <c r="C429" s="301" t="s">
        <v>209</v>
      </c>
      <c r="D429" s="512"/>
      <c r="E429" s="500">
        <f>'C'!D22</f>
        <v>307.2</v>
      </c>
      <c r="F429" s="500">
        <f>'C'!E22</f>
        <v>374.8</v>
      </c>
      <c r="G429" s="500">
        <f>'C'!F22</f>
        <v>373.1</v>
      </c>
      <c r="H429" s="500">
        <f>'C'!G22</f>
        <v>173.3</v>
      </c>
      <c r="I429" s="500">
        <f>'C'!H22</f>
        <v>68.900000000000006</v>
      </c>
      <c r="J429" s="500">
        <f>'C'!I22</f>
        <v>18</v>
      </c>
      <c r="K429" s="500">
        <f>'C'!J22</f>
        <v>29.1</v>
      </c>
      <c r="L429" s="500">
        <f>'C'!K22</f>
        <v>16.7</v>
      </c>
      <c r="M429" s="500">
        <f>'C'!L22</f>
        <v>8.8000000000000007</v>
      </c>
      <c r="N429" s="500">
        <f>'C'!M22</f>
        <v>22.2</v>
      </c>
      <c r="O429" s="500">
        <f>'C'!N22</f>
        <v>83.3</v>
      </c>
      <c r="P429" s="500">
        <f>'C'!O22</f>
        <v>222.4</v>
      </c>
      <c r="Q429" s="501">
        <f>SUM(E429:P429)</f>
        <v>1697.8</v>
      </c>
    </row>
    <row r="430" spans="1:17" x14ac:dyDescent="0.2">
      <c r="A430" s="302">
        <f>A429+1</f>
        <v>22</v>
      </c>
      <c r="B430" s="301"/>
      <c r="C430" s="300" t="s">
        <v>212</v>
      </c>
      <c r="D430" s="782">
        <f>Input!C20</f>
        <v>2.1558000000000002</v>
      </c>
      <c r="E430" s="486">
        <f t="shared" ref="E430:P430" si="172">ROUND(E429*$D$430,2)</f>
        <v>662.26</v>
      </c>
      <c r="F430" s="486">
        <f t="shared" si="172"/>
        <v>807.99</v>
      </c>
      <c r="G430" s="486">
        <f t="shared" si="172"/>
        <v>804.33</v>
      </c>
      <c r="H430" s="486">
        <f t="shared" si="172"/>
        <v>373.6</v>
      </c>
      <c r="I430" s="486">
        <f t="shared" si="172"/>
        <v>148.53</v>
      </c>
      <c r="J430" s="486">
        <f t="shared" si="172"/>
        <v>38.799999999999997</v>
      </c>
      <c r="K430" s="486">
        <f t="shared" si="172"/>
        <v>62.73</v>
      </c>
      <c r="L430" s="486">
        <f t="shared" si="172"/>
        <v>36</v>
      </c>
      <c r="M430" s="486">
        <f t="shared" si="172"/>
        <v>18.97</v>
      </c>
      <c r="N430" s="486">
        <f t="shared" si="172"/>
        <v>47.86</v>
      </c>
      <c r="O430" s="486">
        <f t="shared" si="172"/>
        <v>179.58</v>
      </c>
      <c r="P430" s="486">
        <f t="shared" si="172"/>
        <v>479.45</v>
      </c>
      <c r="Q430" s="486">
        <f>SUM(E430:P430)</f>
        <v>3660.1</v>
      </c>
    </row>
    <row r="431" spans="1:17" x14ac:dyDescent="0.2">
      <c r="A431" s="302"/>
      <c r="B431" s="301"/>
      <c r="C431" s="301"/>
      <c r="D431" s="286"/>
      <c r="E431" s="301"/>
      <c r="F431" s="415"/>
      <c r="G431" s="435"/>
      <c r="H431" s="415"/>
      <c r="I431" s="436"/>
      <c r="J431" s="415"/>
      <c r="K431" s="415"/>
      <c r="L431" s="415"/>
      <c r="M431" s="415"/>
      <c r="N431" s="415"/>
      <c r="O431" s="415"/>
      <c r="P431" s="415"/>
      <c r="Q431" s="502"/>
    </row>
    <row r="432" spans="1:17" x14ac:dyDescent="0.2">
      <c r="A432" s="302">
        <f>A430+1</f>
        <v>23</v>
      </c>
      <c r="B432" s="301"/>
      <c r="C432" s="301" t="s">
        <v>204</v>
      </c>
      <c r="D432" s="286"/>
      <c r="E432" s="486">
        <f t="shared" ref="E432:O432" si="173">E427+E430</f>
        <v>833.02</v>
      </c>
      <c r="F432" s="486">
        <f t="shared" si="173"/>
        <v>978.75</v>
      </c>
      <c r="G432" s="486">
        <f t="shared" si="173"/>
        <v>1032.01</v>
      </c>
      <c r="H432" s="486">
        <f t="shared" si="173"/>
        <v>601.28</v>
      </c>
      <c r="I432" s="486">
        <f t="shared" si="173"/>
        <v>376.21000000000004</v>
      </c>
      <c r="J432" s="486">
        <f t="shared" si="173"/>
        <v>266.48</v>
      </c>
      <c r="K432" s="486">
        <f t="shared" si="173"/>
        <v>290.41000000000003</v>
      </c>
      <c r="L432" s="486">
        <f t="shared" si="173"/>
        <v>206.76</v>
      </c>
      <c r="M432" s="486">
        <f t="shared" si="173"/>
        <v>189.73</v>
      </c>
      <c r="N432" s="486">
        <f t="shared" si="173"/>
        <v>218.62</v>
      </c>
      <c r="O432" s="486">
        <f t="shared" si="173"/>
        <v>350.34000000000003</v>
      </c>
      <c r="P432" s="486">
        <f>P427+P430</f>
        <v>650.21</v>
      </c>
      <c r="Q432" s="486">
        <f>SUM(E432:P432)</f>
        <v>5993.82</v>
      </c>
    </row>
    <row r="433" spans="1:17" x14ac:dyDescent="0.2">
      <c r="A433" s="302"/>
      <c r="B433" s="301"/>
      <c r="C433" s="301"/>
      <c r="D433" s="286"/>
      <c r="E433" s="503"/>
      <c r="F433" s="503"/>
      <c r="G433" s="503"/>
      <c r="H433" s="503"/>
      <c r="I433" s="503"/>
      <c r="J433" s="503"/>
      <c r="K433" s="503"/>
      <c r="L433" s="503"/>
      <c r="M433" s="503"/>
      <c r="N433" s="503"/>
      <c r="O433" s="503"/>
      <c r="P433" s="503"/>
      <c r="Q433" s="503"/>
    </row>
    <row r="434" spans="1:17" x14ac:dyDescent="0.2">
      <c r="A434" s="302">
        <f>A432+1</f>
        <v>24</v>
      </c>
      <c r="B434" s="301"/>
      <c r="C434" s="301" t="s">
        <v>208</v>
      </c>
      <c r="D434" s="782">
        <f>EGC</f>
        <v>2.2090999999999998</v>
      </c>
      <c r="E434" s="504">
        <f t="shared" ref="E434:P434" si="174">ROUND(E429*$D$434,2)</f>
        <v>678.64</v>
      </c>
      <c r="F434" s="504">
        <f t="shared" si="174"/>
        <v>827.97</v>
      </c>
      <c r="G434" s="504">
        <f t="shared" si="174"/>
        <v>824.22</v>
      </c>
      <c r="H434" s="504">
        <f t="shared" si="174"/>
        <v>382.84</v>
      </c>
      <c r="I434" s="504">
        <f t="shared" si="174"/>
        <v>152.21</v>
      </c>
      <c r="J434" s="504">
        <f t="shared" si="174"/>
        <v>39.76</v>
      </c>
      <c r="K434" s="504">
        <f t="shared" si="174"/>
        <v>64.28</v>
      </c>
      <c r="L434" s="504">
        <f t="shared" si="174"/>
        <v>36.89</v>
      </c>
      <c r="M434" s="504">
        <f t="shared" si="174"/>
        <v>19.440000000000001</v>
      </c>
      <c r="N434" s="504">
        <f t="shared" si="174"/>
        <v>49.04</v>
      </c>
      <c r="O434" s="504">
        <f t="shared" si="174"/>
        <v>184.02</v>
      </c>
      <c r="P434" s="504">
        <f t="shared" si="174"/>
        <v>491.3</v>
      </c>
      <c r="Q434" s="504">
        <f>SUM(E434:P434)</f>
        <v>3750.6100000000006</v>
      </c>
    </row>
    <row r="435" spans="1:17" x14ac:dyDescent="0.2">
      <c r="A435" s="302"/>
      <c r="B435" s="301"/>
      <c r="C435" s="301"/>
      <c r="D435" s="300"/>
      <c r="E435" s="503"/>
      <c r="F435" s="503"/>
      <c r="G435" s="503"/>
      <c r="H435" s="503"/>
      <c r="I435" s="503"/>
      <c r="J435" s="503"/>
      <c r="K435" s="503"/>
      <c r="L435" s="503"/>
      <c r="M435" s="503"/>
      <c r="N435" s="503"/>
      <c r="O435" s="503"/>
      <c r="P435" s="503"/>
      <c r="Q435" s="503"/>
    </row>
    <row r="436" spans="1:17" ht="10.8" thickBot="1" x14ac:dyDescent="0.25">
      <c r="A436" s="488">
        <f>A434+1</f>
        <v>25</v>
      </c>
      <c r="B436" s="489"/>
      <c r="C436" s="489" t="s">
        <v>205</v>
      </c>
      <c r="D436" s="490"/>
      <c r="E436" s="492">
        <f t="shared" ref="E436:O436" si="175">E432+E434</f>
        <v>1511.6599999999999</v>
      </c>
      <c r="F436" s="492">
        <f t="shared" si="175"/>
        <v>1806.72</v>
      </c>
      <c r="G436" s="492">
        <f t="shared" si="175"/>
        <v>1856.23</v>
      </c>
      <c r="H436" s="492">
        <f t="shared" si="175"/>
        <v>984.11999999999989</v>
      </c>
      <c r="I436" s="492">
        <f t="shared" si="175"/>
        <v>528.42000000000007</v>
      </c>
      <c r="J436" s="492">
        <f t="shared" si="175"/>
        <v>306.24</v>
      </c>
      <c r="K436" s="492">
        <f t="shared" si="175"/>
        <v>354.69000000000005</v>
      </c>
      <c r="L436" s="492">
        <f t="shared" si="175"/>
        <v>243.64999999999998</v>
      </c>
      <c r="M436" s="492">
        <f t="shared" si="175"/>
        <v>209.17</v>
      </c>
      <c r="N436" s="492">
        <f t="shared" si="175"/>
        <v>267.66000000000003</v>
      </c>
      <c r="O436" s="492">
        <f t="shared" si="175"/>
        <v>534.36</v>
      </c>
      <c r="P436" s="492">
        <f>P432+P434</f>
        <v>1141.51</v>
      </c>
      <c r="Q436" s="492">
        <f>SUM(E436:P436)</f>
        <v>9744.43</v>
      </c>
    </row>
    <row r="437" spans="1:17" ht="10.8" thickTop="1" x14ac:dyDescent="0.2">
      <c r="E437" s="471"/>
      <c r="F437" s="471"/>
      <c r="G437" s="471"/>
      <c r="H437" s="471"/>
      <c r="I437" s="471"/>
      <c r="J437" s="471"/>
      <c r="K437" s="471"/>
      <c r="L437" s="471"/>
      <c r="M437" s="471"/>
      <c r="N437" s="471"/>
      <c r="O437" s="471"/>
      <c r="P437" s="471"/>
      <c r="Q437" s="471"/>
    </row>
    <row r="438" spans="1:17" x14ac:dyDescent="0.2">
      <c r="E438" s="471"/>
      <c r="F438" s="471"/>
      <c r="G438" s="471"/>
      <c r="H438" s="471"/>
      <c r="I438" s="471"/>
      <c r="J438" s="471"/>
      <c r="K438" s="471"/>
      <c r="L438" s="471"/>
      <c r="M438" s="471"/>
      <c r="N438" s="471"/>
      <c r="O438" s="471"/>
      <c r="P438" s="471"/>
      <c r="Q438" s="471"/>
    </row>
    <row r="439" spans="1:17" x14ac:dyDescent="0.2">
      <c r="A439" s="222" t="str">
        <f>$A$270</f>
        <v>[1] Reflects Normalized Volumes.</v>
      </c>
    </row>
    <row r="440" spans="1:17" x14ac:dyDescent="0.2">
      <c r="A440" s="222" t="str">
        <f>"[2] Reflects Gas Cost Adjustment Rate" &amp;CONCATENATE(" as of ",EGCDATE)&amp;"."</f>
        <v>[2] Reflects Gas Cost Adjustment Rate as of March 1, 2016.</v>
      </c>
    </row>
    <row r="441" spans="1:17" x14ac:dyDescent="0.2">
      <c r="A441" s="993" t="str">
        <f>CONAME</f>
        <v>Columbia Gas of Kentucky, Inc.</v>
      </c>
      <c r="B441" s="993"/>
      <c r="C441" s="993"/>
      <c r="D441" s="993"/>
      <c r="E441" s="993"/>
      <c r="F441" s="993"/>
      <c r="G441" s="993"/>
      <c r="H441" s="993"/>
      <c r="I441" s="993"/>
      <c r="J441" s="993"/>
      <c r="K441" s="993"/>
      <c r="L441" s="993"/>
      <c r="M441" s="993"/>
      <c r="N441" s="993"/>
      <c r="O441" s="993"/>
      <c r="P441" s="993"/>
      <c r="Q441" s="993"/>
    </row>
    <row r="442" spans="1:17" x14ac:dyDescent="0.2">
      <c r="A442" s="981" t="str">
        <f>case</f>
        <v>Case No. 2016-00162</v>
      </c>
      <c r="B442" s="981"/>
      <c r="C442" s="981"/>
      <c r="D442" s="981"/>
      <c r="E442" s="981"/>
      <c r="F442" s="981"/>
      <c r="G442" s="981"/>
      <c r="H442" s="981"/>
      <c r="I442" s="981"/>
      <c r="J442" s="981"/>
      <c r="K442" s="981"/>
      <c r="L442" s="981"/>
      <c r="M442" s="981"/>
      <c r="N442" s="981"/>
      <c r="O442" s="981"/>
      <c r="P442" s="981"/>
      <c r="Q442" s="981"/>
    </row>
    <row r="443" spans="1:17" x14ac:dyDescent="0.2">
      <c r="A443" s="994" t="s">
        <v>494</v>
      </c>
      <c r="B443" s="994"/>
      <c r="C443" s="994"/>
      <c r="D443" s="994"/>
      <c r="E443" s="994"/>
      <c r="F443" s="994"/>
      <c r="G443" s="994"/>
      <c r="H443" s="994"/>
      <c r="I443" s="994"/>
      <c r="J443" s="994"/>
      <c r="K443" s="994"/>
      <c r="L443" s="994"/>
      <c r="M443" s="994"/>
      <c r="N443" s="994"/>
      <c r="O443" s="994"/>
      <c r="P443" s="994"/>
      <c r="Q443" s="994"/>
    </row>
    <row r="444" spans="1:17" x14ac:dyDescent="0.2">
      <c r="A444" s="993" t="str">
        <f>TYDESC</f>
        <v>For the 12 Months Ended December 31, 2017</v>
      </c>
      <c r="B444" s="993"/>
      <c r="C444" s="993"/>
      <c r="D444" s="993"/>
      <c r="E444" s="993"/>
      <c r="F444" s="993"/>
      <c r="G444" s="993"/>
      <c r="H444" s="993"/>
      <c r="I444" s="993"/>
      <c r="J444" s="993"/>
      <c r="K444" s="993"/>
      <c r="L444" s="993"/>
      <c r="M444" s="993"/>
      <c r="N444" s="993"/>
      <c r="O444" s="993"/>
      <c r="P444" s="993"/>
      <c r="Q444" s="993"/>
    </row>
    <row r="445" spans="1:17" x14ac:dyDescent="0.2">
      <c r="A445" s="991" t="s">
        <v>39</v>
      </c>
      <c r="B445" s="991"/>
      <c r="C445" s="991"/>
      <c r="D445" s="991"/>
      <c r="E445" s="991"/>
      <c r="F445" s="991"/>
      <c r="G445" s="991"/>
      <c r="H445" s="991"/>
      <c r="I445" s="991"/>
      <c r="J445" s="991"/>
      <c r="K445" s="991"/>
      <c r="L445" s="991"/>
      <c r="M445" s="991"/>
      <c r="N445" s="991"/>
      <c r="O445" s="991"/>
      <c r="P445" s="991"/>
      <c r="Q445" s="991"/>
    </row>
    <row r="446" spans="1:17" x14ac:dyDescent="0.2">
      <c r="A446" s="262" t="str">
        <f>$A$52</f>
        <v>Data: __ Base Period _X_ Forecasted Period</v>
      </c>
    </row>
    <row r="447" spans="1:17" x14ac:dyDescent="0.2">
      <c r="A447" s="262" t="str">
        <f>$A$53</f>
        <v>Type of Filing: X Original _ Update _ Revised</v>
      </c>
      <c r="Q447" s="413" t="str">
        <f>$Q$53</f>
        <v>Schedule M-2.2</v>
      </c>
    </row>
    <row r="448" spans="1:17" x14ac:dyDescent="0.2">
      <c r="A448" s="262" t="str">
        <f>$A$54</f>
        <v>Work Paper Reference No(s):</v>
      </c>
      <c r="Q448" s="413" t="s">
        <v>514</v>
      </c>
    </row>
    <row r="449" spans="1:17" x14ac:dyDescent="0.2">
      <c r="A449" s="414" t="str">
        <f>$A$55</f>
        <v>12 Months Forecasted</v>
      </c>
      <c r="Q449" s="413" t="str">
        <f>Witness</f>
        <v>Witness:  M. J. Bell</v>
      </c>
    </row>
    <row r="450" spans="1:17" x14ac:dyDescent="0.2">
      <c r="A450" s="992" t="s">
        <v>194</v>
      </c>
      <c r="B450" s="992"/>
      <c r="C450" s="992"/>
      <c r="D450" s="992"/>
      <c r="E450" s="992"/>
      <c r="F450" s="992"/>
      <c r="G450" s="992"/>
      <c r="H450" s="992"/>
      <c r="I450" s="992"/>
      <c r="J450" s="992"/>
      <c r="K450" s="992"/>
      <c r="L450" s="992"/>
      <c r="M450" s="992"/>
      <c r="N450" s="992"/>
      <c r="O450" s="992"/>
      <c r="P450" s="992"/>
      <c r="Q450" s="992"/>
    </row>
    <row r="451" spans="1:17" x14ac:dyDescent="0.2">
      <c r="A451" s="433"/>
      <c r="B451" s="301"/>
      <c r="C451" s="301"/>
      <c r="D451" s="300"/>
      <c r="E451" s="301"/>
      <c r="F451" s="415"/>
      <c r="G451" s="435"/>
      <c r="H451" s="415"/>
      <c r="I451" s="436"/>
      <c r="J451" s="415"/>
      <c r="K451" s="415"/>
      <c r="L451" s="415"/>
      <c r="M451" s="415"/>
      <c r="N451" s="415"/>
      <c r="O451" s="415"/>
      <c r="P451" s="415"/>
      <c r="Q451" s="301"/>
    </row>
    <row r="452" spans="1:17" x14ac:dyDescent="0.2">
      <c r="A452" s="410" t="s">
        <v>1</v>
      </c>
      <c r="B452" s="224" t="s">
        <v>0</v>
      </c>
      <c r="C452" s="224" t="s">
        <v>41</v>
      </c>
      <c r="D452" s="416" t="s">
        <v>47</v>
      </c>
      <c r="E452" s="224"/>
      <c r="F452" s="417"/>
      <c r="G452" s="418"/>
      <c r="H452" s="417"/>
      <c r="I452" s="419"/>
      <c r="J452" s="417"/>
      <c r="K452" s="417"/>
      <c r="L452" s="417"/>
      <c r="M452" s="417"/>
      <c r="N452" s="417"/>
      <c r="O452" s="417"/>
      <c r="P452" s="417"/>
      <c r="Q452" s="229"/>
    </row>
    <row r="453" spans="1:17" x14ac:dyDescent="0.2">
      <c r="A453" s="281" t="s">
        <v>3</v>
      </c>
      <c r="B453" s="226" t="s">
        <v>40</v>
      </c>
      <c r="C453" s="226" t="s">
        <v>4</v>
      </c>
      <c r="D453" s="420" t="s">
        <v>48</v>
      </c>
      <c r="E453" s="421" t="str">
        <f>B!$D$11</f>
        <v>Jan-17</v>
      </c>
      <c r="F453" s="421" t="str">
        <f>B!$E$11</f>
        <v>Feb-17</v>
      </c>
      <c r="G453" s="421" t="str">
        <f>B!$F$11</f>
        <v>Mar-17</v>
      </c>
      <c r="H453" s="421" t="str">
        <f>B!$G$11</f>
        <v>Apr-17</v>
      </c>
      <c r="I453" s="421" t="str">
        <f>B!$H$11</f>
        <v>May-17</v>
      </c>
      <c r="J453" s="421" t="str">
        <f>B!$I$11</f>
        <v>Jun-17</v>
      </c>
      <c r="K453" s="421" t="str">
        <f>B!$J$11</f>
        <v>Jul-17</v>
      </c>
      <c r="L453" s="421" t="str">
        <f>B!$K$11</f>
        <v>Aug-17</v>
      </c>
      <c r="M453" s="421" t="str">
        <f>B!$L$11</f>
        <v>Sep-17</v>
      </c>
      <c r="N453" s="421" t="str">
        <f>B!$M$11</f>
        <v>Oct-17</v>
      </c>
      <c r="O453" s="421" t="str">
        <f>B!$N$11</f>
        <v>Nov-17</v>
      </c>
      <c r="P453" s="421" t="str">
        <f>B!$O$11</f>
        <v>Dec-17</v>
      </c>
      <c r="Q453" s="422" t="s">
        <v>9</v>
      </c>
    </row>
    <row r="454" spans="1:17" x14ac:dyDescent="0.2">
      <c r="A454" s="410"/>
      <c r="B454" s="229" t="s">
        <v>42</v>
      </c>
      <c r="C454" s="229" t="s">
        <v>43</v>
      </c>
      <c r="D454" s="423" t="s">
        <v>45</v>
      </c>
      <c r="E454" s="424" t="s">
        <v>46</v>
      </c>
      <c r="F454" s="424" t="s">
        <v>49</v>
      </c>
      <c r="G454" s="424" t="s">
        <v>50</v>
      </c>
      <c r="H454" s="424" t="s">
        <v>51</v>
      </c>
      <c r="I454" s="424" t="s">
        <v>52</v>
      </c>
      <c r="J454" s="424" t="s">
        <v>53</v>
      </c>
      <c r="K454" s="425" t="s">
        <v>54</v>
      </c>
      <c r="L454" s="425" t="s">
        <v>55</v>
      </c>
      <c r="M454" s="425" t="s">
        <v>56</v>
      </c>
      <c r="N454" s="425" t="s">
        <v>57</v>
      </c>
      <c r="O454" s="425" t="s">
        <v>58</v>
      </c>
      <c r="P454" s="425" t="s">
        <v>59</v>
      </c>
      <c r="Q454" s="425" t="s">
        <v>203</v>
      </c>
    </row>
    <row r="455" spans="1:17" x14ac:dyDescent="0.2">
      <c r="E455" s="229"/>
      <c r="F455" s="425"/>
      <c r="G455" s="437"/>
      <c r="H455" s="425"/>
      <c r="I455" s="424"/>
      <c r="J455" s="425"/>
      <c r="K455" s="425"/>
      <c r="L455" s="425"/>
      <c r="M455" s="425"/>
      <c r="N455" s="425"/>
      <c r="O455" s="425"/>
      <c r="P455" s="425"/>
      <c r="Q455" s="229"/>
    </row>
    <row r="456" spans="1:17" x14ac:dyDescent="0.2">
      <c r="A456" s="222">
        <v>1</v>
      </c>
      <c r="B456" s="219" t="str">
        <f>B79</f>
        <v>G1R</v>
      </c>
      <c r="C456" s="219" t="str">
        <f>C79</f>
        <v>LG&amp;E Residential</v>
      </c>
    </row>
    <row r="458" spans="1:17" x14ac:dyDescent="0.2">
      <c r="A458" s="222">
        <f>A456+1</f>
        <v>2</v>
      </c>
      <c r="C458" s="223" t="s">
        <v>109</v>
      </c>
    </row>
    <row r="460" spans="1:17" x14ac:dyDescent="0.2">
      <c r="A460" s="222">
        <f>A458+1</f>
        <v>3</v>
      </c>
      <c r="C460" s="219" t="s">
        <v>202</v>
      </c>
      <c r="E460" s="472">
        <f>B!D27</f>
        <v>16</v>
      </c>
      <c r="F460" s="472">
        <f>B!E27</f>
        <v>16</v>
      </c>
      <c r="G460" s="472">
        <f>B!F27</f>
        <v>16</v>
      </c>
      <c r="H460" s="472">
        <f>B!G27</f>
        <v>16</v>
      </c>
      <c r="I460" s="472">
        <f>B!H27</f>
        <v>16</v>
      </c>
      <c r="J460" s="472">
        <f>B!I27</f>
        <v>16</v>
      </c>
      <c r="K460" s="472">
        <f>B!J27</f>
        <v>16</v>
      </c>
      <c r="L460" s="472">
        <f>B!K27</f>
        <v>16</v>
      </c>
      <c r="M460" s="472">
        <f>B!L27</f>
        <v>16</v>
      </c>
      <c r="N460" s="472">
        <f>B!M27</f>
        <v>16</v>
      </c>
      <c r="O460" s="472">
        <f>B!N27</f>
        <v>16</v>
      </c>
      <c r="P460" s="472">
        <f>B!O27</f>
        <v>16</v>
      </c>
      <c r="Q460" s="505">
        <f>SUM(E460:P460)</f>
        <v>192</v>
      </c>
    </row>
    <row r="461" spans="1:17" x14ac:dyDescent="0.2">
      <c r="A461" s="222">
        <f>A460+1</f>
        <v>4</v>
      </c>
      <c r="C461" s="219" t="s">
        <v>210</v>
      </c>
      <c r="D461" s="781">
        <f>Input!H21</f>
        <v>17.27</v>
      </c>
      <c r="E461" s="427">
        <f t="shared" ref="E461:P461" si="176">ROUND(E460*$D$461,2)</f>
        <v>276.32</v>
      </c>
      <c r="F461" s="427">
        <f t="shared" si="176"/>
        <v>276.32</v>
      </c>
      <c r="G461" s="427">
        <f t="shared" si="176"/>
        <v>276.32</v>
      </c>
      <c r="H461" s="427">
        <f t="shared" si="176"/>
        <v>276.32</v>
      </c>
      <c r="I461" s="427">
        <f t="shared" si="176"/>
        <v>276.32</v>
      </c>
      <c r="J461" s="427">
        <f t="shared" si="176"/>
        <v>276.32</v>
      </c>
      <c r="K461" s="427">
        <f t="shared" si="176"/>
        <v>276.32</v>
      </c>
      <c r="L461" s="427">
        <f t="shared" si="176"/>
        <v>276.32</v>
      </c>
      <c r="M461" s="427">
        <f t="shared" si="176"/>
        <v>276.32</v>
      </c>
      <c r="N461" s="427">
        <f t="shared" si="176"/>
        <v>276.32</v>
      </c>
      <c r="O461" s="427">
        <f t="shared" si="176"/>
        <v>276.32</v>
      </c>
      <c r="P461" s="427">
        <f t="shared" si="176"/>
        <v>276.32</v>
      </c>
      <c r="Q461" s="427">
        <f>SUM(E461:P461)</f>
        <v>3315.8400000000006</v>
      </c>
    </row>
    <row r="462" spans="1:17" x14ac:dyDescent="0.2">
      <c r="D462" s="286"/>
      <c r="E462" s="222"/>
      <c r="F462" s="288"/>
      <c r="G462" s="469"/>
      <c r="H462" s="288"/>
      <c r="I462" s="293"/>
      <c r="J462" s="288"/>
      <c r="K462" s="288"/>
      <c r="L462" s="288"/>
    </row>
    <row r="463" spans="1:17" x14ac:dyDescent="0.2">
      <c r="A463" s="222">
        <f>A461+1</f>
        <v>5</v>
      </c>
      <c r="C463" s="219" t="s">
        <v>209</v>
      </c>
      <c r="D463" s="512"/>
      <c r="E463" s="476">
        <f>'C'!D27</f>
        <v>458.3</v>
      </c>
      <c r="F463" s="476">
        <f>'C'!E27</f>
        <v>345.9</v>
      </c>
      <c r="G463" s="476">
        <f>'C'!F27</f>
        <v>279.39999999999998</v>
      </c>
      <c r="H463" s="476">
        <f>'C'!G27</f>
        <v>174.8</v>
      </c>
      <c r="I463" s="476">
        <f>'C'!H27</f>
        <v>81.099999999999994</v>
      </c>
      <c r="J463" s="476">
        <f>'C'!I27</f>
        <v>33.4</v>
      </c>
      <c r="K463" s="476">
        <f>'C'!J27</f>
        <v>24.1</v>
      </c>
      <c r="L463" s="476">
        <f>'C'!K27</f>
        <v>27.6</v>
      </c>
      <c r="M463" s="476">
        <f>'C'!L27</f>
        <v>28.4</v>
      </c>
      <c r="N463" s="476">
        <f>'C'!M27</f>
        <v>68</v>
      </c>
      <c r="O463" s="476">
        <f>'C'!N27</f>
        <v>159.19999999999999</v>
      </c>
      <c r="P463" s="476">
        <f>'C'!O27</f>
        <v>338.7</v>
      </c>
      <c r="Q463" s="506">
        <f>SUM(E463:P463)</f>
        <v>2018.8999999999999</v>
      </c>
    </row>
    <row r="464" spans="1:17" x14ac:dyDescent="0.2">
      <c r="A464" s="222">
        <f>A463+1</f>
        <v>6</v>
      </c>
      <c r="C464" s="240" t="s">
        <v>212</v>
      </c>
      <c r="D464" s="782">
        <f>Input!C21</f>
        <v>2.96</v>
      </c>
      <c r="E464" s="427">
        <f t="shared" ref="E464:O464" si="177">ROUND(E463*$D$464,2)</f>
        <v>1356.57</v>
      </c>
      <c r="F464" s="427">
        <f t="shared" si="177"/>
        <v>1023.86</v>
      </c>
      <c r="G464" s="427">
        <f t="shared" si="177"/>
        <v>827.02</v>
      </c>
      <c r="H464" s="427">
        <f t="shared" si="177"/>
        <v>517.41</v>
      </c>
      <c r="I464" s="427">
        <f t="shared" si="177"/>
        <v>240.06</v>
      </c>
      <c r="J464" s="427">
        <f t="shared" si="177"/>
        <v>98.86</v>
      </c>
      <c r="K464" s="427">
        <f t="shared" si="177"/>
        <v>71.34</v>
      </c>
      <c r="L464" s="427">
        <f t="shared" si="177"/>
        <v>81.7</v>
      </c>
      <c r="M464" s="427">
        <f t="shared" si="177"/>
        <v>84.06</v>
      </c>
      <c r="N464" s="427">
        <f t="shared" si="177"/>
        <v>201.28</v>
      </c>
      <c r="O464" s="427">
        <f t="shared" si="177"/>
        <v>471.23</v>
      </c>
      <c r="P464" s="427">
        <f>ROUND(P463*$D$464,2)</f>
        <v>1002.55</v>
      </c>
      <c r="Q464" s="427">
        <f>SUM(E464:P464)</f>
        <v>5975.94</v>
      </c>
    </row>
    <row r="465" spans="1:17" x14ac:dyDescent="0.2">
      <c r="D465" s="286"/>
      <c r="E465" s="459"/>
      <c r="F465" s="459"/>
      <c r="G465" s="459"/>
      <c r="H465" s="459"/>
      <c r="I465" s="459"/>
      <c r="J465" s="459"/>
      <c r="K465" s="459"/>
      <c r="L465" s="459"/>
      <c r="M465" s="459"/>
      <c r="N465" s="459"/>
      <c r="O465" s="459"/>
      <c r="P465" s="459"/>
      <c r="Q465" s="484"/>
    </row>
    <row r="466" spans="1:17" x14ac:dyDescent="0.2">
      <c r="A466" s="302">
        <f>A464+1</f>
        <v>7</v>
      </c>
      <c r="B466" s="301"/>
      <c r="C466" s="301" t="s">
        <v>204</v>
      </c>
      <c r="D466" s="286"/>
      <c r="E466" s="427">
        <f t="shared" ref="E466:O466" si="178">E461+E464</f>
        <v>1632.8899999999999</v>
      </c>
      <c r="F466" s="427">
        <f t="shared" si="178"/>
        <v>1300.18</v>
      </c>
      <c r="G466" s="427">
        <f t="shared" si="178"/>
        <v>1103.3399999999999</v>
      </c>
      <c r="H466" s="427">
        <f t="shared" si="178"/>
        <v>793.73</v>
      </c>
      <c r="I466" s="427">
        <f t="shared" si="178"/>
        <v>516.38</v>
      </c>
      <c r="J466" s="427">
        <f t="shared" si="178"/>
        <v>375.18</v>
      </c>
      <c r="K466" s="427">
        <f t="shared" si="178"/>
        <v>347.65999999999997</v>
      </c>
      <c r="L466" s="427">
        <f t="shared" si="178"/>
        <v>358.02</v>
      </c>
      <c r="M466" s="427">
        <f t="shared" si="178"/>
        <v>360.38</v>
      </c>
      <c r="N466" s="427">
        <f t="shared" si="178"/>
        <v>477.6</v>
      </c>
      <c r="O466" s="427">
        <f t="shared" si="178"/>
        <v>747.55</v>
      </c>
      <c r="P466" s="427">
        <f>P461+P464</f>
        <v>1278.8699999999999</v>
      </c>
      <c r="Q466" s="427">
        <f>SUM(E466:P466)</f>
        <v>9291.7799999999988</v>
      </c>
    </row>
    <row r="467" spans="1:17" x14ac:dyDescent="0.2">
      <c r="D467" s="286"/>
      <c r="E467" s="459"/>
      <c r="F467" s="459"/>
      <c r="G467" s="459"/>
      <c r="H467" s="459"/>
      <c r="I467" s="459"/>
      <c r="J467" s="459"/>
      <c r="K467" s="459"/>
      <c r="L467" s="459"/>
      <c r="M467" s="459"/>
      <c r="N467" s="459"/>
      <c r="O467" s="459"/>
      <c r="P467" s="459"/>
      <c r="Q467" s="459"/>
    </row>
    <row r="468" spans="1:17" x14ac:dyDescent="0.2">
      <c r="A468" s="222">
        <f>A466+1</f>
        <v>8</v>
      </c>
      <c r="C468" s="219" t="s">
        <v>208</v>
      </c>
      <c r="D468" s="782">
        <f>EGC</f>
        <v>2.2090999999999998</v>
      </c>
      <c r="E468" s="427">
        <f t="shared" ref="E468:O468" si="179">ROUND(E463*$D$468,2)</f>
        <v>1012.43</v>
      </c>
      <c r="F468" s="427">
        <f t="shared" si="179"/>
        <v>764.13</v>
      </c>
      <c r="G468" s="427">
        <f t="shared" si="179"/>
        <v>617.22</v>
      </c>
      <c r="H468" s="427">
        <f t="shared" si="179"/>
        <v>386.15</v>
      </c>
      <c r="I468" s="427">
        <f t="shared" si="179"/>
        <v>179.16</v>
      </c>
      <c r="J468" s="427">
        <f t="shared" si="179"/>
        <v>73.78</v>
      </c>
      <c r="K468" s="427">
        <f t="shared" si="179"/>
        <v>53.24</v>
      </c>
      <c r="L468" s="427">
        <f t="shared" si="179"/>
        <v>60.97</v>
      </c>
      <c r="M468" s="427">
        <f t="shared" si="179"/>
        <v>62.74</v>
      </c>
      <c r="N468" s="427">
        <f t="shared" si="179"/>
        <v>150.22</v>
      </c>
      <c r="O468" s="427">
        <f t="shared" si="179"/>
        <v>351.69</v>
      </c>
      <c r="P468" s="427">
        <f>ROUND(P463*$D$468,2)</f>
        <v>748.22</v>
      </c>
      <c r="Q468" s="427">
        <f>SUM(E468:P468)</f>
        <v>4459.9499999999989</v>
      </c>
    </row>
    <row r="469" spans="1:17" x14ac:dyDescent="0.2">
      <c r="E469" s="459"/>
      <c r="F469" s="459"/>
      <c r="G469" s="459"/>
      <c r="H469" s="459"/>
      <c r="I469" s="459"/>
      <c r="J469" s="459"/>
      <c r="K469" s="459"/>
      <c r="L469" s="459"/>
      <c r="M469" s="459"/>
      <c r="N469" s="459"/>
      <c r="O469" s="459"/>
      <c r="P469" s="459"/>
      <c r="Q469" s="459"/>
    </row>
    <row r="470" spans="1:17" ht="10.8" thickBot="1" x14ac:dyDescent="0.25">
      <c r="A470" s="488">
        <f>A468+1</f>
        <v>9</v>
      </c>
      <c r="B470" s="489"/>
      <c r="C470" s="489" t="s">
        <v>205</v>
      </c>
      <c r="D470" s="490"/>
      <c r="E470" s="492">
        <f t="shared" ref="E470:O470" si="180">E466+E468</f>
        <v>2645.3199999999997</v>
      </c>
      <c r="F470" s="492">
        <f t="shared" si="180"/>
        <v>2064.31</v>
      </c>
      <c r="G470" s="492">
        <f t="shared" si="180"/>
        <v>1720.56</v>
      </c>
      <c r="H470" s="492">
        <f t="shared" si="180"/>
        <v>1179.8800000000001</v>
      </c>
      <c r="I470" s="492">
        <f t="shared" si="180"/>
        <v>695.54</v>
      </c>
      <c r="J470" s="492">
        <f t="shared" si="180"/>
        <v>448.96000000000004</v>
      </c>
      <c r="K470" s="492">
        <f t="shared" si="180"/>
        <v>400.9</v>
      </c>
      <c r="L470" s="492">
        <f t="shared" si="180"/>
        <v>418.99</v>
      </c>
      <c r="M470" s="492">
        <f t="shared" si="180"/>
        <v>423.12</v>
      </c>
      <c r="N470" s="492">
        <f t="shared" si="180"/>
        <v>627.82000000000005</v>
      </c>
      <c r="O470" s="492">
        <f t="shared" si="180"/>
        <v>1099.24</v>
      </c>
      <c r="P470" s="492">
        <f>P466+P468</f>
        <v>2027.09</v>
      </c>
      <c r="Q470" s="492">
        <f>SUM(E470:P470)</f>
        <v>13751.73</v>
      </c>
    </row>
    <row r="471" spans="1:17" ht="10.8" thickTop="1" x14ac:dyDescent="0.2">
      <c r="A471" s="302"/>
      <c r="B471" s="301"/>
      <c r="C471" s="301"/>
      <c r="D471" s="300"/>
      <c r="E471" s="493"/>
      <c r="F471" s="493"/>
      <c r="G471" s="493"/>
      <c r="H471" s="493"/>
      <c r="I471" s="493"/>
      <c r="J471" s="493"/>
      <c r="K471" s="493"/>
      <c r="L471" s="493"/>
      <c r="M471" s="493"/>
      <c r="N471" s="493"/>
      <c r="O471" s="493"/>
      <c r="P471" s="493"/>
      <c r="Q471" s="451"/>
    </row>
    <row r="472" spans="1:17" x14ac:dyDescent="0.2">
      <c r="A472" s="302"/>
      <c r="B472" s="301"/>
      <c r="C472" s="301"/>
      <c r="D472" s="300"/>
      <c r="E472" s="493"/>
      <c r="F472" s="493"/>
      <c r="G472" s="493"/>
      <c r="H472" s="493"/>
      <c r="I472" s="493"/>
      <c r="J472" s="493"/>
      <c r="K472" s="493"/>
      <c r="L472" s="493"/>
      <c r="M472" s="493"/>
      <c r="N472" s="493"/>
      <c r="O472" s="493"/>
      <c r="P472" s="493"/>
      <c r="Q472" s="451"/>
    </row>
    <row r="473" spans="1:17" x14ac:dyDescent="0.2">
      <c r="A473" s="222">
        <f>A470+1</f>
        <v>10</v>
      </c>
      <c r="B473" s="219" t="str">
        <f>B86</f>
        <v>IN3</v>
      </c>
      <c r="C473" s="219" t="str">
        <f>C86</f>
        <v>Inland Gas General Service - Residential</v>
      </c>
    </row>
    <row r="474" spans="1:17" x14ac:dyDescent="0.2">
      <c r="J474" s="288"/>
    </row>
    <row r="475" spans="1:17" x14ac:dyDescent="0.2">
      <c r="A475" s="222">
        <f>A473+1</f>
        <v>11</v>
      </c>
      <c r="C475" s="223" t="s">
        <v>109</v>
      </c>
      <c r="J475" s="288"/>
    </row>
    <row r="476" spans="1:17" x14ac:dyDescent="0.2">
      <c r="J476" s="288"/>
    </row>
    <row r="477" spans="1:17" x14ac:dyDescent="0.2">
      <c r="A477" s="222">
        <f>A475+1</f>
        <v>12</v>
      </c>
      <c r="C477" s="219" t="s">
        <v>202</v>
      </c>
      <c r="E477" s="472">
        <f>B!D32</f>
        <v>9</v>
      </c>
      <c r="F477" s="472">
        <f>B!E32</f>
        <v>9</v>
      </c>
      <c r="G477" s="472">
        <f>B!F32</f>
        <v>9</v>
      </c>
      <c r="H477" s="472">
        <f>B!G32</f>
        <v>10</v>
      </c>
      <c r="I477" s="472">
        <f>B!H32</f>
        <v>8</v>
      </c>
      <c r="J477" s="472">
        <f>B!I32</f>
        <v>9</v>
      </c>
      <c r="K477" s="472">
        <f>B!J32</f>
        <v>9</v>
      </c>
      <c r="L477" s="472">
        <f>B!K32</f>
        <v>9</v>
      </c>
      <c r="M477" s="472">
        <f>B!L32</f>
        <v>9</v>
      </c>
      <c r="N477" s="472">
        <f>B!M32</f>
        <v>9</v>
      </c>
      <c r="O477" s="472">
        <f>B!N32</f>
        <v>9</v>
      </c>
      <c r="P477" s="472">
        <f>B!O32</f>
        <v>9</v>
      </c>
      <c r="Q477" s="505">
        <f>SUM(E477:P477)</f>
        <v>108</v>
      </c>
    </row>
    <row r="478" spans="1:17" x14ac:dyDescent="0.2">
      <c r="A478" s="222">
        <f>A477+1</f>
        <v>13</v>
      </c>
      <c r="C478" s="219" t="s">
        <v>210</v>
      </c>
      <c r="D478" s="781">
        <f>Input!H22</f>
        <v>0</v>
      </c>
      <c r="E478" s="427">
        <f t="shared" ref="E478:P478" si="181">ROUND(E477*$D$478,2)</f>
        <v>0</v>
      </c>
      <c r="F478" s="427">
        <f t="shared" si="181"/>
        <v>0</v>
      </c>
      <c r="G478" s="427">
        <f t="shared" si="181"/>
        <v>0</v>
      </c>
      <c r="H478" s="427">
        <f t="shared" si="181"/>
        <v>0</v>
      </c>
      <c r="I478" s="427">
        <f t="shared" si="181"/>
        <v>0</v>
      </c>
      <c r="J478" s="427">
        <f t="shared" si="181"/>
        <v>0</v>
      </c>
      <c r="K478" s="427">
        <f t="shared" si="181"/>
        <v>0</v>
      </c>
      <c r="L478" s="427">
        <f t="shared" si="181"/>
        <v>0</v>
      </c>
      <c r="M478" s="427">
        <f t="shared" si="181"/>
        <v>0</v>
      </c>
      <c r="N478" s="427">
        <f t="shared" si="181"/>
        <v>0</v>
      </c>
      <c r="O478" s="427">
        <f t="shared" si="181"/>
        <v>0</v>
      </c>
      <c r="P478" s="427">
        <f t="shared" si="181"/>
        <v>0</v>
      </c>
      <c r="Q478" s="427">
        <f>SUM(E478:P478)</f>
        <v>0</v>
      </c>
    </row>
    <row r="479" spans="1:17" x14ac:dyDescent="0.2">
      <c r="D479" s="286"/>
      <c r="J479" s="507"/>
    </row>
    <row r="480" spans="1:17" x14ac:dyDescent="0.2">
      <c r="A480" s="222">
        <f>A478+1</f>
        <v>14</v>
      </c>
      <c r="C480" s="240" t="s">
        <v>209</v>
      </c>
      <c r="D480" s="512"/>
      <c r="E480" s="476">
        <f>'C'!D32</f>
        <v>247.9</v>
      </c>
      <c r="F480" s="476">
        <f>'C'!E32</f>
        <v>172.9</v>
      </c>
      <c r="G480" s="476">
        <f>'C'!F32</f>
        <v>116.2</v>
      </c>
      <c r="H480" s="476">
        <f>'C'!G32</f>
        <v>84.5</v>
      </c>
      <c r="I480" s="476">
        <f>'C'!H32</f>
        <v>36.299999999999997</v>
      </c>
      <c r="J480" s="476">
        <f>'C'!I32</f>
        <v>17</v>
      </c>
      <c r="K480" s="476">
        <f>'C'!J32</f>
        <v>11.6</v>
      </c>
      <c r="L480" s="476">
        <f>'C'!K32</f>
        <v>10.8</v>
      </c>
      <c r="M480" s="476">
        <f>'C'!L32</f>
        <v>11.5</v>
      </c>
      <c r="N480" s="476">
        <f>'C'!M32</f>
        <v>34</v>
      </c>
      <c r="O480" s="476">
        <f>'C'!N32</f>
        <v>90.2</v>
      </c>
      <c r="P480" s="476">
        <f>'C'!O32</f>
        <v>157.30000000000001</v>
      </c>
      <c r="Q480" s="506">
        <f>SUM(E480:P480)</f>
        <v>990.2</v>
      </c>
    </row>
    <row r="481" spans="1:17" x14ac:dyDescent="0.2">
      <c r="A481" s="222">
        <f>A480+1</f>
        <v>15</v>
      </c>
      <c r="C481" s="219" t="s">
        <v>212</v>
      </c>
      <c r="D481" s="782">
        <f>Input!C22</f>
        <v>0.4</v>
      </c>
      <c r="E481" s="427">
        <f t="shared" ref="E481:P481" si="182">ROUND(E480*$D$481,2)</f>
        <v>99.16</v>
      </c>
      <c r="F481" s="427">
        <f t="shared" si="182"/>
        <v>69.16</v>
      </c>
      <c r="G481" s="427">
        <f t="shared" si="182"/>
        <v>46.48</v>
      </c>
      <c r="H481" s="427">
        <f t="shared" si="182"/>
        <v>33.799999999999997</v>
      </c>
      <c r="I481" s="427">
        <f t="shared" si="182"/>
        <v>14.52</v>
      </c>
      <c r="J481" s="427">
        <f t="shared" si="182"/>
        <v>6.8</v>
      </c>
      <c r="K481" s="427">
        <f t="shared" si="182"/>
        <v>4.6399999999999997</v>
      </c>
      <c r="L481" s="427">
        <f t="shared" si="182"/>
        <v>4.32</v>
      </c>
      <c r="M481" s="427">
        <f t="shared" si="182"/>
        <v>4.5999999999999996</v>
      </c>
      <c r="N481" s="427">
        <f t="shared" si="182"/>
        <v>13.6</v>
      </c>
      <c r="O481" s="427">
        <f t="shared" si="182"/>
        <v>36.08</v>
      </c>
      <c r="P481" s="427">
        <f t="shared" si="182"/>
        <v>62.92</v>
      </c>
      <c r="Q481" s="427">
        <f>SUM(E481:P481)</f>
        <v>396.08</v>
      </c>
    </row>
    <row r="482" spans="1:17" x14ac:dyDescent="0.2">
      <c r="D482" s="286"/>
      <c r="E482" s="459"/>
      <c r="F482" s="459"/>
      <c r="G482" s="459"/>
      <c r="H482" s="459"/>
      <c r="I482" s="459"/>
      <c r="J482" s="459"/>
      <c r="K482" s="459"/>
      <c r="L482" s="459"/>
      <c r="M482" s="459"/>
      <c r="N482" s="459"/>
      <c r="O482" s="459"/>
      <c r="P482" s="459"/>
      <c r="Q482" s="484"/>
    </row>
    <row r="483" spans="1:17" x14ac:dyDescent="0.2">
      <c r="A483" s="222">
        <f>A481+1</f>
        <v>16</v>
      </c>
      <c r="C483" s="219" t="s">
        <v>204</v>
      </c>
      <c r="D483" s="286"/>
      <c r="E483" s="427">
        <f t="shared" ref="E483:O483" si="183">E478+E481</f>
        <v>99.16</v>
      </c>
      <c r="F483" s="427">
        <f t="shared" si="183"/>
        <v>69.16</v>
      </c>
      <c r="G483" s="427">
        <f t="shared" si="183"/>
        <v>46.48</v>
      </c>
      <c r="H483" s="427">
        <f t="shared" si="183"/>
        <v>33.799999999999997</v>
      </c>
      <c r="I483" s="427">
        <f t="shared" si="183"/>
        <v>14.52</v>
      </c>
      <c r="J483" s="427">
        <f t="shared" si="183"/>
        <v>6.8</v>
      </c>
      <c r="K483" s="427">
        <f t="shared" si="183"/>
        <v>4.6399999999999997</v>
      </c>
      <c r="L483" s="427">
        <f t="shared" si="183"/>
        <v>4.32</v>
      </c>
      <c r="M483" s="427">
        <f t="shared" si="183"/>
        <v>4.5999999999999996</v>
      </c>
      <c r="N483" s="427">
        <f t="shared" si="183"/>
        <v>13.6</v>
      </c>
      <c r="O483" s="427">
        <f t="shared" si="183"/>
        <v>36.08</v>
      </c>
      <c r="P483" s="427">
        <f>P478+P481</f>
        <v>62.92</v>
      </c>
      <c r="Q483" s="427">
        <f>SUM(E483:P483)</f>
        <v>396.08</v>
      </c>
    </row>
    <row r="484" spans="1:17" x14ac:dyDescent="0.2">
      <c r="D484" s="286"/>
      <c r="E484" s="222"/>
      <c r="F484" s="288"/>
      <c r="G484" s="469"/>
      <c r="H484" s="288"/>
      <c r="I484" s="293"/>
      <c r="J484" s="288"/>
      <c r="K484" s="288"/>
      <c r="L484" s="288"/>
      <c r="M484" s="288"/>
      <c r="N484" s="288"/>
      <c r="O484" s="288"/>
      <c r="P484" s="288"/>
      <c r="Q484" s="412"/>
    </row>
    <row r="485" spans="1:17" x14ac:dyDescent="0.2">
      <c r="A485" s="222">
        <f>A483+1</f>
        <v>17</v>
      </c>
      <c r="C485" s="219" t="s">
        <v>151</v>
      </c>
      <c r="D485" s="783">
        <v>0</v>
      </c>
      <c r="E485" s="510">
        <v>0</v>
      </c>
      <c r="F485" s="510">
        <v>0</v>
      </c>
      <c r="G485" s="510">
        <v>0</v>
      </c>
      <c r="H485" s="510">
        <v>0</v>
      </c>
      <c r="I485" s="510">
        <v>0</v>
      </c>
      <c r="J485" s="510">
        <v>0</v>
      </c>
      <c r="K485" s="510">
        <v>0</v>
      </c>
      <c r="L485" s="510">
        <v>0</v>
      </c>
      <c r="M485" s="510">
        <v>0</v>
      </c>
      <c r="N485" s="510">
        <v>0</v>
      </c>
      <c r="O485" s="510">
        <v>0</v>
      </c>
      <c r="P485" s="510">
        <v>0</v>
      </c>
      <c r="Q485" s="427">
        <f>SUM(E485:P485)</f>
        <v>0</v>
      </c>
    </row>
    <row r="486" spans="1:17" x14ac:dyDescent="0.2">
      <c r="D486" s="508"/>
    </row>
    <row r="487" spans="1:17" ht="10.8" thickBot="1" x14ac:dyDescent="0.25">
      <c r="A487" s="488">
        <f>A485+1</f>
        <v>18</v>
      </c>
      <c r="B487" s="489"/>
      <c r="C487" s="489" t="s">
        <v>205</v>
      </c>
      <c r="D487" s="490"/>
      <c r="E487" s="492">
        <f t="shared" ref="E487:O487" si="184">E483+E485</f>
        <v>99.16</v>
      </c>
      <c r="F487" s="492">
        <f t="shared" si="184"/>
        <v>69.16</v>
      </c>
      <c r="G487" s="492">
        <f t="shared" si="184"/>
        <v>46.48</v>
      </c>
      <c r="H487" s="492">
        <f t="shared" si="184"/>
        <v>33.799999999999997</v>
      </c>
      <c r="I487" s="492">
        <f t="shared" si="184"/>
        <v>14.52</v>
      </c>
      <c r="J487" s="492">
        <f t="shared" si="184"/>
        <v>6.8</v>
      </c>
      <c r="K487" s="492">
        <f t="shared" si="184"/>
        <v>4.6399999999999997</v>
      </c>
      <c r="L487" s="492">
        <f t="shared" si="184"/>
        <v>4.32</v>
      </c>
      <c r="M487" s="492">
        <f t="shared" si="184"/>
        <v>4.5999999999999996</v>
      </c>
      <c r="N487" s="492">
        <f t="shared" si="184"/>
        <v>13.6</v>
      </c>
      <c r="O487" s="492">
        <f t="shared" si="184"/>
        <v>36.08</v>
      </c>
      <c r="P487" s="492">
        <f>P483+P485</f>
        <v>62.92</v>
      </c>
      <c r="Q487" s="492">
        <f>SUM(E487:P487)</f>
        <v>396.08</v>
      </c>
    </row>
    <row r="488" spans="1:17" ht="10.8" thickTop="1" x14ac:dyDescent="0.2">
      <c r="A488" s="302"/>
      <c r="B488" s="301"/>
      <c r="C488" s="301"/>
      <c r="D488" s="300"/>
      <c r="E488" s="493"/>
      <c r="F488" s="493"/>
      <c r="G488" s="493"/>
      <c r="H488" s="493"/>
      <c r="I488" s="493"/>
      <c r="J488" s="493"/>
      <c r="K488" s="493"/>
      <c r="L488" s="493"/>
      <c r="M488" s="493"/>
      <c r="N488" s="493"/>
      <c r="O488" s="493"/>
      <c r="P488" s="493"/>
      <c r="Q488" s="451"/>
    </row>
    <row r="489" spans="1:17" x14ac:dyDescent="0.2">
      <c r="A489" s="302"/>
      <c r="B489" s="301"/>
      <c r="C489" s="301"/>
      <c r="D489" s="300"/>
      <c r="E489" s="493"/>
      <c r="F489" s="493"/>
      <c r="G489" s="493"/>
      <c r="H489" s="493"/>
      <c r="I489" s="493"/>
      <c r="J489" s="493"/>
      <c r="K489" s="493"/>
      <c r="L489" s="493"/>
      <c r="M489" s="493"/>
      <c r="N489" s="493"/>
      <c r="O489" s="493"/>
      <c r="P489" s="493"/>
      <c r="Q489" s="451"/>
    </row>
    <row r="490" spans="1:17" x14ac:dyDescent="0.2">
      <c r="A490" s="222">
        <f>A487+1</f>
        <v>19</v>
      </c>
      <c r="B490" s="219" t="str">
        <f>B93</f>
        <v>IN4</v>
      </c>
      <c r="C490" s="219" t="str">
        <f>C93</f>
        <v>Inland Gas General Service - Residential</v>
      </c>
    </row>
    <row r="492" spans="1:17" x14ac:dyDescent="0.2">
      <c r="A492" s="222">
        <f>A490+1</f>
        <v>20</v>
      </c>
      <c r="C492" s="223" t="s">
        <v>109</v>
      </c>
    </row>
    <row r="493" spans="1:17" x14ac:dyDescent="0.2">
      <c r="F493" s="288"/>
      <c r="G493" s="469"/>
      <c r="H493" s="288"/>
      <c r="I493" s="293"/>
      <c r="J493" s="288"/>
      <c r="K493" s="288"/>
      <c r="L493" s="288"/>
    </row>
    <row r="494" spans="1:17" x14ac:dyDescent="0.2">
      <c r="A494" s="222">
        <f>A492+1</f>
        <v>21</v>
      </c>
      <c r="C494" s="219" t="s">
        <v>202</v>
      </c>
      <c r="E494" s="472">
        <f>B!D37</f>
        <v>0</v>
      </c>
      <c r="F494" s="472">
        <f>B!E37</f>
        <v>0</v>
      </c>
      <c r="G494" s="472">
        <f>B!F37</f>
        <v>0</v>
      </c>
      <c r="H494" s="472">
        <f>B!G37</f>
        <v>0</v>
      </c>
      <c r="I494" s="472">
        <f>B!H37</f>
        <v>0</v>
      </c>
      <c r="J494" s="472">
        <f>B!I37</f>
        <v>0</v>
      </c>
      <c r="K494" s="472">
        <f>B!J37</f>
        <v>0</v>
      </c>
      <c r="L494" s="472">
        <f>B!K37</f>
        <v>0</v>
      </c>
      <c r="M494" s="472">
        <f>B!L37</f>
        <v>0</v>
      </c>
      <c r="N494" s="472">
        <f>B!M37</f>
        <v>0</v>
      </c>
      <c r="O494" s="472">
        <f>B!N37</f>
        <v>0</v>
      </c>
      <c r="P494" s="472">
        <f>B!O37</f>
        <v>0</v>
      </c>
      <c r="Q494" s="505">
        <f>SUM(E494:P494)</f>
        <v>0</v>
      </c>
    </row>
    <row r="495" spans="1:17" x14ac:dyDescent="0.2">
      <c r="A495" s="222">
        <f>A494+1</f>
        <v>22</v>
      </c>
      <c r="C495" s="219" t="s">
        <v>210</v>
      </c>
      <c r="D495" s="781">
        <f>Input!H24</f>
        <v>0</v>
      </c>
      <c r="E495" s="427">
        <f t="shared" ref="E495:P495" si="185">ROUND(E494*$D$495,2)</f>
        <v>0</v>
      </c>
      <c r="F495" s="427">
        <f t="shared" si="185"/>
        <v>0</v>
      </c>
      <c r="G495" s="427">
        <f t="shared" si="185"/>
        <v>0</v>
      </c>
      <c r="H495" s="427">
        <f t="shared" si="185"/>
        <v>0</v>
      </c>
      <c r="I495" s="427">
        <f t="shared" si="185"/>
        <v>0</v>
      </c>
      <c r="J495" s="427">
        <f t="shared" si="185"/>
        <v>0</v>
      </c>
      <c r="K495" s="427">
        <f t="shared" si="185"/>
        <v>0</v>
      </c>
      <c r="L495" s="427">
        <f t="shared" si="185"/>
        <v>0</v>
      </c>
      <c r="M495" s="427">
        <f t="shared" si="185"/>
        <v>0</v>
      </c>
      <c r="N495" s="427">
        <f t="shared" si="185"/>
        <v>0</v>
      </c>
      <c r="O495" s="427">
        <f t="shared" si="185"/>
        <v>0</v>
      </c>
      <c r="P495" s="427">
        <f t="shared" si="185"/>
        <v>0</v>
      </c>
      <c r="Q495" s="427">
        <f>SUM(E495:P495)</f>
        <v>0</v>
      </c>
    </row>
    <row r="496" spans="1:17" x14ac:dyDescent="0.2">
      <c r="D496" s="286"/>
      <c r="E496" s="475"/>
      <c r="F496" s="288"/>
      <c r="G496" s="469"/>
      <c r="H496" s="288"/>
      <c r="I496" s="293"/>
      <c r="J496" s="507"/>
      <c r="K496" s="288"/>
      <c r="L496" s="288"/>
    </row>
    <row r="497" spans="1:17" x14ac:dyDescent="0.2">
      <c r="A497" s="222">
        <f>A495+1</f>
        <v>23</v>
      </c>
      <c r="C497" s="240" t="s">
        <v>209</v>
      </c>
      <c r="D497" s="512"/>
      <c r="E497" s="476">
        <f>'C'!D37</f>
        <v>0</v>
      </c>
      <c r="F497" s="476">
        <f>'C'!E37</f>
        <v>0</v>
      </c>
      <c r="G497" s="476">
        <f>'C'!F37</f>
        <v>0</v>
      </c>
      <c r="H497" s="476">
        <f>'C'!G37</f>
        <v>0</v>
      </c>
      <c r="I497" s="476">
        <f>'C'!H37</f>
        <v>0</v>
      </c>
      <c r="J497" s="476">
        <f>'C'!I37</f>
        <v>0</v>
      </c>
      <c r="K497" s="476">
        <f>'C'!J37</f>
        <v>0</v>
      </c>
      <c r="L497" s="476">
        <f>'C'!K37</f>
        <v>0</v>
      </c>
      <c r="M497" s="476">
        <f>'C'!L37</f>
        <v>0</v>
      </c>
      <c r="N497" s="476">
        <f>'C'!M37</f>
        <v>0</v>
      </c>
      <c r="O497" s="476">
        <f>'C'!N37</f>
        <v>0</v>
      </c>
      <c r="P497" s="476">
        <f>'C'!O37</f>
        <v>0</v>
      </c>
      <c r="Q497" s="506">
        <f>SUM(E497:P497)</f>
        <v>0</v>
      </c>
    </row>
    <row r="498" spans="1:17" x14ac:dyDescent="0.2">
      <c r="A498" s="222">
        <f>A497+1</f>
        <v>24</v>
      </c>
      <c r="C498" s="219" t="s">
        <v>212</v>
      </c>
      <c r="D498" s="782">
        <f>Input!C24</f>
        <v>0.55000000000000004</v>
      </c>
      <c r="E498" s="427">
        <f t="shared" ref="E498:P498" si="186">ROUND(E497*$D$498,2)</f>
        <v>0</v>
      </c>
      <c r="F498" s="427">
        <f t="shared" si="186"/>
        <v>0</v>
      </c>
      <c r="G498" s="427">
        <f t="shared" si="186"/>
        <v>0</v>
      </c>
      <c r="H498" s="427">
        <f t="shared" si="186"/>
        <v>0</v>
      </c>
      <c r="I498" s="427">
        <f t="shared" si="186"/>
        <v>0</v>
      </c>
      <c r="J498" s="427">
        <f t="shared" si="186"/>
        <v>0</v>
      </c>
      <c r="K498" s="427">
        <f t="shared" si="186"/>
        <v>0</v>
      </c>
      <c r="L498" s="427">
        <f t="shared" si="186"/>
        <v>0</v>
      </c>
      <c r="M498" s="427">
        <f t="shared" si="186"/>
        <v>0</v>
      </c>
      <c r="N498" s="427">
        <f t="shared" si="186"/>
        <v>0</v>
      </c>
      <c r="O498" s="427">
        <f t="shared" si="186"/>
        <v>0</v>
      </c>
      <c r="P498" s="427">
        <f t="shared" si="186"/>
        <v>0</v>
      </c>
      <c r="Q498" s="427">
        <f>SUM(E498:P498)</f>
        <v>0</v>
      </c>
    </row>
    <row r="499" spans="1:17" x14ac:dyDescent="0.2">
      <c r="D499" s="286"/>
      <c r="E499" s="466"/>
      <c r="F499" s="466"/>
      <c r="G499" s="466"/>
      <c r="H499" s="466"/>
      <c r="I499" s="466"/>
      <c r="J499" s="466"/>
      <c r="K499" s="466"/>
      <c r="L499" s="466"/>
      <c r="M499" s="466"/>
      <c r="N499" s="466"/>
      <c r="O499" s="466"/>
      <c r="P499" s="466"/>
      <c r="Q499" s="484"/>
    </row>
    <row r="500" spans="1:17" x14ac:dyDescent="0.2">
      <c r="A500" s="222">
        <f>A498+1</f>
        <v>25</v>
      </c>
      <c r="C500" s="219" t="s">
        <v>204</v>
      </c>
      <c r="D500" s="286"/>
      <c r="E500" s="427">
        <f t="shared" ref="E500:P500" si="187">E495+E498</f>
        <v>0</v>
      </c>
      <c r="F500" s="427">
        <f t="shared" si="187"/>
        <v>0</v>
      </c>
      <c r="G500" s="427">
        <f t="shared" si="187"/>
        <v>0</v>
      </c>
      <c r="H500" s="427">
        <f t="shared" si="187"/>
        <v>0</v>
      </c>
      <c r="I500" s="427">
        <f t="shared" si="187"/>
        <v>0</v>
      </c>
      <c r="J500" s="427">
        <f t="shared" si="187"/>
        <v>0</v>
      </c>
      <c r="K500" s="427">
        <f t="shared" si="187"/>
        <v>0</v>
      </c>
      <c r="L500" s="427">
        <f t="shared" si="187"/>
        <v>0</v>
      </c>
      <c r="M500" s="427">
        <f t="shared" si="187"/>
        <v>0</v>
      </c>
      <c r="N500" s="427">
        <f t="shared" si="187"/>
        <v>0</v>
      </c>
      <c r="O500" s="427">
        <f t="shared" si="187"/>
        <v>0</v>
      </c>
      <c r="P500" s="427">
        <f t="shared" si="187"/>
        <v>0</v>
      </c>
      <c r="Q500" s="427">
        <f>SUM(E500:P500)</f>
        <v>0</v>
      </c>
    </row>
    <row r="501" spans="1:17" x14ac:dyDescent="0.2">
      <c r="D501" s="286"/>
      <c r="E501" s="466"/>
      <c r="F501" s="466"/>
      <c r="G501" s="466"/>
      <c r="H501" s="466"/>
      <c r="I501" s="466"/>
      <c r="J501" s="466"/>
      <c r="K501" s="466"/>
      <c r="L501" s="466"/>
      <c r="M501" s="466"/>
      <c r="N501" s="466"/>
      <c r="O501" s="466"/>
      <c r="P501" s="466"/>
      <c r="Q501" s="459"/>
    </row>
    <row r="502" spans="1:17" x14ac:dyDescent="0.2">
      <c r="A502" s="222">
        <f>A500+1</f>
        <v>26</v>
      </c>
      <c r="C502" s="219" t="s">
        <v>151</v>
      </c>
      <c r="D502" s="783">
        <v>0</v>
      </c>
      <c r="E502" s="510">
        <v>0</v>
      </c>
      <c r="F502" s="510">
        <v>0</v>
      </c>
      <c r="G502" s="510">
        <v>0</v>
      </c>
      <c r="H502" s="510">
        <v>0</v>
      </c>
      <c r="I502" s="510">
        <v>0</v>
      </c>
      <c r="J502" s="510">
        <v>0</v>
      </c>
      <c r="K502" s="510">
        <v>0</v>
      </c>
      <c r="L502" s="510">
        <v>0</v>
      </c>
      <c r="M502" s="510">
        <v>0</v>
      </c>
      <c r="N502" s="510">
        <v>0</v>
      </c>
      <c r="O502" s="510">
        <v>0</v>
      </c>
      <c r="P502" s="510">
        <v>0</v>
      </c>
      <c r="Q502" s="427">
        <f>SUM(E502:P502)</f>
        <v>0</v>
      </c>
    </row>
    <row r="503" spans="1:17" x14ac:dyDescent="0.2">
      <c r="D503" s="286"/>
      <c r="E503" s="466"/>
      <c r="F503" s="466"/>
      <c r="G503" s="466"/>
      <c r="H503" s="466"/>
      <c r="I503" s="466"/>
      <c r="J503" s="466"/>
      <c r="K503" s="466"/>
      <c r="L503" s="466"/>
      <c r="M503" s="466"/>
      <c r="N503" s="466"/>
      <c r="O503" s="466"/>
      <c r="P503" s="466"/>
      <c r="Q503" s="459"/>
    </row>
    <row r="504" spans="1:17" ht="10.8" thickBot="1" x14ac:dyDescent="0.25">
      <c r="A504" s="446">
        <f>A502+1</f>
        <v>27</v>
      </c>
      <c r="B504" s="447"/>
      <c r="C504" s="489" t="s">
        <v>205</v>
      </c>
      <c r="D504" s="490"/>
      <c r="E504" s="492">
        <f t="shared" ref="E504:P504" si="188">E500+E502</f>
        <v>0</v>
      </c>
      <c r="F504" s="492">
        <f t="shared" si="188"/>
        <v>0</v>
      </c>
      <c r="G504" s="492">
        <f t="shared" si="188"/>
        <v>0</v>
      </c>
      <c r="H504" s="492">
        <f t="shared" si="188"/>
        <v>0</v>
      </c>
      <c r="I504" s="492">
        <f t="shared" si="188"/>
        <v>0</v>
      </c>
      <c r="J504" s="492">
        <f t="shared" si="188"/>
        <v>0</v>
      </c>
      <c r="K504" s="492">
        <f t="shared" si="188"/>
        <v>0</v>
      </c>
      <c r="L504" s="492">
        <f t="shared" si="188"/>
        <v>0</v>
      </c>
      <c r="M504" s="492">
        <f t="shared" si="188"/>
        <v>0</v>
      </c>
      <c r="N504" s="492">
        <f t="shared" si="188"/>
        <v>0</v>
      </c>
      <c r="O504" s="492">
        <f t="shared" si="188"/>
        <v>0</v>
      </c>
      <c r="P504" s="492">
        <f t="shared" si="188"/>
        <v>0</v>
      </c>
      <c r="Q504" s="492">
        <f>SUM(E504:P504)</f>
        <v>0</v>
      </c>
    </row>
    <row r="505" spans="1:17" ht="10.8" thickTop="1" x14ac:dyDescent="0.2">
      <c r="A505" s="302"/>
      <c r="B505" s="301"/>
      <c r="C505" s="301"/>
      <c r="D505" s="300"/>
      <c r="E505" s="493"/>
      <c r="F505" s="493"/>
      <c r="G505" s="493"/>
      <c r="H505" s="493"/>
      <c r="I505" s="493"/>
      <c r="J505" s="493"/>
      <c r="K505" s="493"/>
      <c r="L505" s="493"/>
      <c r="M505" s="493"/>
      <c r="N505" s="493"/>
      <c r="O505" s="493"/>
      <c r="P505" s="493"/>
      <c r="Q505" s="451"/>
    </row>
    <row r="506" spans="1:17" x14ac:dyDescent="0.2">
      <c r="A506" s="302"/>
      <c r="B506" s="301"/>
      <c r="C506" s="301"/>
      <c r="D506" s="300"/>
      <c r="E506" s="493"/>
      <c r="F506" s="493"/>
      <c r="G506" s="493"/>
      <c r="H506" s="493"/>
      <c r="I506" s="493"/>
      <c r="J506" s="493"/>
      <c r="K506" s="493"/>
      <c r="L506" s="493"/>
      <c r="M506" s="493"/>
      <c r="N506" s="493"/>
      <c r="O506" s="493"/>
      <c r="P506" s="493"/>
      <c r="Q506" s="451"/>
    </row>
    <row r="507" spans="1:17" x14ac:dyDescent="0.2">
      <c r="A507" s="222" t="str">
        <f>$A$270</f>
        <v>[1] Reflects Normalized Volumes.</v>
      </c>
    </row>
    <row r="508" spans="1:17" x14ac:dyDescent="0.2">
      <c r="A508" s="222" t="str">
        <f>"[2] Reflects Gas Cost Adjustment Rate"&amp;CONCATENATE(" as of ",EGCDATE)&amp;"."</f>
        <v>[2] Reflects Gas Cost Adjustment Rate as of March 1, 2016.</v>
      </c>
    </row>
    <row r="509" spans="1:17" x14ac:dyDescent="0.2">
      <c r="A509" s="993" t="str">
        <f>CONAME</f>
        <v>Columbia Gas of Kentucky, Inc.</v>
      </c>
      <c r="B509" s="993"/>
      <c r="C509" s="993"/>
      <c r="D509" s="993"/>
      <c r="E509" s="993"/>
      <c r="F509" s="993"/>
      <c r="G509" s="993"/>
      <c r="H509" s="993"/>
      <c r="I509" s="993"/>
      <c r="J509" s="993"/>
      <c r="K509" s="993"/>
      <c r="L509" s="993"/>
      <c r="M509" s="993"/>
      <c r="N509" s="993"/>
      <c r="O509" s="993"/>
      <c r="P509" s="993"/>
      <c r="Q509" s="993"/>
    </row>
    <row r="510" spans="1:17" x14ac:dyDescent="0.2">
      <c r="A510" s="981" t="str">
        <f>case</f>
        <v>Case No. 2016-00162</v>
      </c>
      <c r="B510" s="981"/>
      <c r="C510" s="981"/>
      <c r="D510" s="981"/>
      <c r="E510" s="981"/>
      <c r="F510" s="981"/>
      <c r="G510" s="981"/>
      <c r="H510" s="981"/>
      <c r="I510" s="981"/>
      <c r="J510" s="981"/>
      <c r="K510" s="981"/>
      <c r="L510" s="981"/>
      <c r="M510" s="981"/>
      <c r="N510" s="981"/>
      <c r="O510" s="981"/>
      <c r="P510" s="981"/>
      <c r="Q510" s="981"/>
    </row>
    <row r="511" spans="1:17" x14ac:dyDescent="0.2">
      <c r="A511" s="994" t="s">
        <v>494</v>
      </c>
      <c r="B511" s="994"/>
      <c r="C511" s="994"/>
      <c r="D511" s="994"/>
      <c r="E511" s="994"/>
      <c r="F511" s="994"/>
      <c r="G511" s="994"/>
      <c r="H511" s="994"/>
      <c r="I511" s="994"/>
      <c r="J511" s="994"/>
      <c r="K511" s="994"/>
      <c r="L511" s="994"/>
      <c r="M511" s="994"/>
      <c r="N511" s="994"/>
      <c r="O511" s="994"/>
      <c r="P511" s="994"/>
      <c r="Q511" s="994"/>
    </row>
    <row r="512" spans="1:17" x14ac:dyDescent="0.2">
      <c r="A512" s="993" t="str">
        <f>TYDESC</f>
        <v>For the 12 Months Ended December 31, 2017</v>
      </c>
      <c r="B512" s="993"/>
      <c r="C512" s="993"/>
      <c r="D512" s="993"/>
      <c r="E512" s="993"/>
      <c r="F512" s="993"/>
      <c r="G512" s="993"/>
      <c r="H512" s="993"/>
      <c r="I512" s="993"/>
      <c r="J512" s="993"/>
      <c r="K512" s="993"/>
      <c r="L512" s="993"/>
      <c r="M512" s="993"/>
      <c r="N512" s="993"/>
      <c r="O512" s="993"/>
      <c r="P512" s="993"/>
      <c r="Q512" s="993"/>
    </row>
    <row r="513" spans="1:17" x14ac:dyDescent="0.2">
      <c r="A513" s="991" t="s">
        <v>39</v>
      </c>
      <c r="B513" s="991"/>
      <c r="C513" s="991"/>
      <c r="D513" s="991"/>
      <c r="E513" s="991"/>
      <c r="F513" s="991"/>
      <c r="G513" s="991"/>
      <c r="H513" s="991"/>
      <c r="I513" s="991"/>
      <c r="J513" s="991"/>
      <c r="K513" s="991"/>
      <c r="L513" s="991"/>
      <c r="M513" s="991"/>
      <c r="N513" s="991"/>
      <c r="O513" s="991"/>
      <c r="P513" s="991"/>
      <c r="Q513" s="991"/>
    </row>
    <row r="514" spans="1:17" x14ac:dyDescent="0.2">
      <c r="A514" s="262" t="str">
        <f>$A$52</f>
        <v>Data: __ Base Period _X_ Forecasted Period</v>
      </c>
    </row>
    <row r="515" spans="1:17" x14ac:dyDescent="0.2">
      <c r="A515" s="262" t="str">
        <f>$A$53</f>
        <v>Type of Filing: X Original _ Update _ Revised</v>
      </c>
      <c r="Q515" s="413" t="str">
        <f>$Q$53</f>
        <v>Schedule M-2.2</v>
      </c>
    </row>
    <row r="516" spans="1:17" x14ac:dyDescent="0.2">
      <c r="A516" s="262" t="str">
        <f>$A$54</f>
        <v>Work Paper Reference No(s):</v>
      </c>
      <c r="Q516" s="413" t="s">
        <v>502</v>
      </c>
    </row>
    <row r="517" spans="1:17" x14ac:dyDescent="0.2">
      <c r="A517" s="414" t="str">
        <f>$A$55</f>
        <v>12 Months Forecasted</v>
      </c>
      <c r="Q517" s="413" t="str">
        <f>Witness</f>
        <v>Witness:  M. J. Bell</v>
      </c>
    </row>
    <row r="518" spans="1:17" x14ac:dyDescent="0.2">
      <c r="A518" s="992" t="s">
        <v>194</v>
      </c>
      <c r="B518" s="992"/>
      <c r="C518" s="992"/>
      <c r="D518" s="992"/>
      <c r="E518" s="992"/>
      <c r="F518" s="992"/>
      <c r="G518" s="992"/>
      <c r="H518" s="992"/>
      <c r="I518" s="992"/>
      <c r="J518" s="992"/>
      <c r="K518" s="992"/>
      <c r="L518" s="992"/>
      <c r="M518" s="992"/>
      <c r="N518" s="992"/>
      <c r="O518" s="992"/>
      <c r="P518" s="992"/>
      <c r="Q518" s="992"/>
    </row>
    <row r="519" spans="1:17" x14ac:dyDescent="0.2">
      <c r="A519" s="433"/>
      <c r="B519" s="301"/>
      <c r="C519" s="301"/>
      <c r="D519" s="300"/>
      <c r="E519" s="301"/>
      <c r="F519" s="415"/>
      <c r="G519" s="435"/>
      <c r="H519" s="415"/>
      <c r="I519" s="436"/>
      <c r="J519" s="415"/>
      <c r="K519" s="415"/>
      <c r="L519" s="415"/>
      <c r="M519" s="415"/>
      <c r="N519" s="415"/>
      <c r="O519" s="415"/>
      <c r="P519" s="415"/>
      <c r="Q519" s="301"/>
    </row>
    <row r="520" spans="1:17" x14ac:dyDescent="0.2">
      <c r="A520" s="410" t="s">
        <v>1</v>
      </c>
      <c r="B520" s="224" t="s">
        <v>0</v>
      </c>
      <c r="C520" s="224" t="s">
        <v>41</v>
      </c>
      <c r="D520" s="416" t="s">
        <v>47</v>
      </c>
      <c r="E520" s="224"/>
      <c r="F520" s="417"/>
      <c r="G520" s="418"/>
      <c r="H520" s="417"/>
      <c r="I520" s="419"/>
      <c r="J520" s="417"/>
      <c r="K520" s="417"/>
      <c r="L520" s="417"/>
      <c r="M520" s="417"/>
      <c r="N520" s="417"/>
      <c r="O520" s="417"/>
      <c r="P520" s="417"/>
      <c r="Q520" s="229"/>
    </row>
    <row r="521" spans="1:17" x14ac:dyDescent="0.2">
      <c r="A521" s="281" t="s">
        <v>3</v>
      </c>
      <c r="B521" s="226" t="s">
        <v>40</v>
      </c>
      <c r="C521" s="226" t="s">
        <v>4</v>
      </c>
      <c r="D521" s="420" t="s">
        <v>48</v>
      </c>
      <c r="E521" s="421" t="str">
        <f>B!$D$11</f>
        <v>Jan-17</v>
      </c>
      <c r="F521" s="421" t="str">
        <f>B!$E$11</f>
        <v>Feb-17</v>
      </c>
      <c r="G521" s="421" t="str">
        <f>B!$F$11</f>
        <v>Mar-17</v>
      </c>
      <c r="H521" s="421" t="str">
        <f>B!$G$11</f>
        <v>Apr-17</v>
      </c>
      <c r="I521" s="421" t="str">
        <f>B!$H$11</f>
        <v>May-17</v>
      </c>
      <c r="J521" s="421" t="str">
        <f>B!$I$11</f>
        <v>Jun-17</v>
      </c>
      <c r="K521" s="421" t="str">
        <f>B!$J$11</f>
        <v>Jul-17</v>
      </c>
      <c r="L521" s="421" t="str">
        <f>B!$K$11</f>
        <v>Aug-17</v>
      </c>
      <c r="M521" s="421" t="str">
        <f>B!$L$11</f>
        <v>Sep-17</v>
      </c>
      <c r="N521" s="421" t="str">
        <f>B!$M$11</f>
        <v>Oct-17</v>
      </c>
      <c r="O521" s="421" t="str">
        <f>B!$N$11</f>
        <v>Nov-17</v>
      </c>
      <c r="P521" s="421" t="str">
        <f>B!$O$11</f>
        <v>Dec-17</v>
      </c>
      <c r="Q521" s="422" t="s">
        <v>9</v>
      </c>
    </row>
    <row r="522" spans="1:17" x14ac:dyDescent="0.2">
      <c r="A522" s="410"/>
      <c r="B522" s="229" t="s">
        <v>42</v>
      </c>
      <c r="C522" s="229" t="s">
        <v>43</v>
      </c>
      <c r="D522" s="423" t="s">
        <v>45</v>
      </c>
      <c r="E522" s="424" t="s">
        <v>46</v>
      </c>
      <c r="F522" s="424" t="s">
        <v>49</v>
      </c>
      <c r="G522" s="424" t="s">
        <v>50</v>
      </c>
      <c r="H522" s="424" t="s">
        <v>51</v>
      </c>
      <c r="I522" s="424" t="s">
        <v>52</v>
      </c>
      <c r="J522" s="424" t="s">
        <v>53</v>
      </c>
      <c r="K522" s="425" t="s">
        <v>54</v>
      </c>
      <c r="L522" s="425" t="s">
        <v>55</v>
      </c>
      <c r="M522" s="425" t="s">
        <v>56</v>
      </c>
      <c r="N522" s="425" t="s">
        <v>57</v>
      </c>
      <c r="O522" s="425" t="s">
        <v>58</v>
      </c>
      <c r="P522" s="425" t="s">
        <v>59</v>
      </c>
      <c r="Q522" s="425" t="s">
        <v>203</v>
      </c>
    </row>
    <row r="523" spans="1:17" x14ac:dyDescent="0.2">
      <c r="E523" s="229"/>
      <c r="F523" s="425"/>
      <c r="G523" s="437"/>
      <c r="H523" s="425"/>
      <c r="I523" s="424"/>
      <c r="J523" s="425"/>
      <c r="K523" s="425"/>
      <c r="L523" s="425"/>
      <c r="M523" s="425"/>
      <c r="N523" s="425"/>
      <c r="O523" s="425"/>
      <c r="P523" s="425"/>
      <c r="Q523" s="229"/>
    </row>
    <row r="524" spans="1:17" x14ac:dyDescent="0.2">
      <c r="A524" s="222">
        <v>1</v>
      </c>
      <c r="B524" s="219" t="str">
        <f>B100</f>
        <v>IN5</v>
      </c>
      <c r="C524" s="219" t="str">
        <f>C100</f>
        <v>Inland Gas General Service - Residential</v>
      </c>
    </row>
    <row r="526" spans="1:17" x14ac:dyDescent="0.2">
      <c r="A526" s="222">
        <f>A524+1</f>
        <v>2</v>
      </c>
      <c r="C526" s="223" t="s">
        <v>109</v>
      </c>
      <c r="E526" s="222"/>
      <c r="F526" s="288"/>
      <c r="G526" s="469"/>
      <c r="H526" s="288"/>
      <c r="I526" s="293"/>
      <c r="J526" s="288"/>
      <c r="K526" s="288"/>
    </row>
    <row r="527" spans="1:17" x14ac:dyDescent="0.2">
      <c r="E527" s="222"/>
      <c r="F527" s="288"/>
      <c r="G527" s="469"/>
      <c r="H527" s="288"/>
      <c r="I527" s="293"/>
      <c r="J527" s="288"/>
      <c r="K527" s="288"/>
    </row>
    <row r="528" spans="1:17" x14ac:dyDescent="0.2">
      <c r="A528" s="222">
        <f>A526+1</f>
        <v>3</v>
      </c>
      <c r="C528" s="219" t="s">
        <v>202</v>
      </c>
      <c r="D528" s="286"/>
      <c r="E528" s="472">
        <f>B!D42</f>
        <v>3</v>
      </c>
      <c r="F528" s="472">
        <f>B!E42</f>
        <v>3</v>
      </c>
      <c r="G528" s="472">
        <f>B!F42</f>
        <v>3</v>
      </c>
      <c r="H528" s="472">
        <f>B!G42</f>
        <v>3</v>
      </c>
      <c r="I528" s="472">
        <f>B!H42</f>
        <v>3</v>
      </c>
      <c r="J528" s="472">
        <f>B!I42</f>
        <v>3</v>
      </c>
      <c r="K528" s="472">
        <f>B!J42</f>
        <v>3</v>
      </c>
      <c r="L528" s="472">
        <f>B!K42</f>
        <v>3</v>
      </c>
      <c r="M528" s="472">
        <f>B!L42</f>
        <v>3</v>
      </c>
      <c r="N528" s="472">
        <f>B!M42</f>
        <v>3</v>
      </c>
      <c r="O528" s="472">
        <f>B!N42</f>
        <v>3</v>
      </c>
      <c r="P528" s="472">
        <f>B!O42</f>
        <v>3</v>
      </c>
      <c r="Q528" s="505">
        <f>SUM(E528:P528)</f>
        <v>36</v>
      </c>
    </row>
    <row r="529" spans="1:17" x14ac:dyDescent="0.2">
      <c r="A529" s="222">
        <f>A528+1</f>
        <v>4</v>
      </c>
      <c r="C529" s="219" t="s">
        <v>210</v>
      </c>
      <c r="D529" s="781">
        <f>Input!H25</f>
        <v>0</v>
      </c>
      <c r="E529" s="427">
        <f t="shared" ref="E529:P529" si="189">ROUND(E528*$D$495,2)</f>
        <v>0</v>
      </c>
      <c r="F529" s="427">
        <f t="shared" si="189"/>
        <v>0</v>
      </c>
      <c r="G529" s="427">
        <f t="shared" si="189"/>
        <v>0</v>
      </c>
      <c r="H529" s="427">
        <f t="shared" si="189"/>
        <v>0</v>
      </c>
      <c r="I529" s="427">
        <f t="shared" si="189"/>
        <v>0</v>
      </c>
      <c r="J529" s="427">
        <f t="shared" si="189"/>
        <v>0</v>
      </c>
      <c r="K529" s="427">
        <f t="shared" si="189"/>
        <v>0</v>
      </c>
      <c r="L529" s="427">
        <f t="shared" si="189"/>
        <v>0</v>
      </c>
      <c r="M529" s="427">
        <f t="shared" si="189"/>
        <v>0</v>
      </c>
      <c r="N529" s="427">
        <f t="shared" si="189"/>
        <v>0</v>
      </c>
      <c r="O529" s="427">
        <f t="shared" si="189"/>
        <v>0</v>
      </c>
      <c r="P529" s="427">
        <f t="shared" si="189"/>
        <v>0</v>
      </c>
      <c r="Q529" s="427">
        <f>SUM(E529:P529)</f>
        <v>0</v>
      </c>
    </row>
    <row r="530" spans="1:17" x14ac:dyDescent="0.2">
      <c r="D530" s="286"/>
      <c r="E530" s="514"/>
      <c r="F530" s="288"/>
      <c r="G530" s="469"/>
      <c r="H530" s="288"/>
      <c r="I530" s="293"/>
      <c r="J530" s="507"/>
      <c r="K530" s="288"/>
      <c r="L530" s="288"/>
      <c r="M530" s="288"/>
      <c r="N530" s="288"/>
      <c r="O530" s="288"/>
      <c r="P530" s="288"/>
    </row>
    <row r="531" spans="1:17" x14ac:dyDescent="0.2">
      <c r="A531" s="222">
        <f>A529+1</f>
        <v>5</v>
      </c>
      <c r="C531" s="240" t="s">
        <v>209</v>
      </c>
      <c r="D531" s="512"/>
      <c r="E531" s="476">
        <f>'C'!D42</f>
        <v>84.3</v>
      </c>
      <c r="F531" s="476">
        <f>'C'!E42</f>
        <v>54.6</v>
      </c>
      <c r="G531" s="476">
        <f>'C'!F42</f>
        <v>43.5</v>
      </c>
      <c r="H531" s="476">
        <f>'C'!G42</f>
        <v>25.4</v>
      </c>
      <c r="I531" s="476">
        <f>'C'!H42</f>
        <v>12.3</v>
      </c>
      <c r="J531" s="476">
        <f>'C'!I42</f>
        <v>4.9000000000000004</v>
      </c>
      <c r="K531" s="476">
        <f>'C'!J42</f>
        <v>2.4</v>
      </c>
      <c r="L531" s="476">
        <f>'C'!K42</f>
        <v>2.9</v>
      </c>
      <c r="M531" s="476">
        <f>'C'!L42</f>
        <v>4.3</v>
      </c>
      <c r="N531" s="476">
        <f>'C'!M42</f>
        <v>14.9</v>
      </c>
      <c r="O531" s="476">
        <f>'C'!N42</f>
        <v>32.1</v>
      </c>
      <c r="P531" s="476">
        <f>'C'!O42</f>
        <v>52</v>
      </c>
      <c r="Q531" s="506">
        <f>SUM(E531:P531)</f>
        <v>333.60000000000008</v>
      </c>
    </row>
    <row r="532" spans="1:17" x14ac:dyDescent="0.2">
      <c r="A532" s="222">
        <f>A531+1</f>
        <v>6</v>
      </c>
      <c r="C532" s="219" t="s">
        <v>212</v>
      </c>
      <c r="D532" s="782">
        <f>Input!C25</f>
        <v>0.6</v>
      </c>
      <c r="E532" s="427">
        <f t="shared" ref="E532:P532" si="190">ROUND(E531*$D$532,2)</f>
        <v>50.58</v>
      </c>
      <c r="F532" s="427">
        <f t="shared" si="190"/>
        <v>32.76</v>
      </c>
      <c r="G532" s="427">
        <f t="shared" si="190"/>
        <v>26.1</v>
      </c>
      <c r="H532" s="427">
        <f t="shared" si="190"/>
        <v>15.24</v>
      </c>
      <c r="I532" s="427">
        <f t="shared" si="190"/>
        <v>7.38</v>
      </c>
      <c r="J532" s="427">
        <f t="shared" si="190"/>
        <v>2.94</v>
      </c>
      <c r="K532" s="427">
        <f t="shared" si="190"/>
        <v>1.44</v>
      </c>
      <c r="L532" s="427">
        <f t="shared" si="190"/>
        <v>1.74</v>
      </c>
      <c r="M532" s="427">
        <f t="shared" si="190"/>
        <v>2.58</v>
      </c>
      <c r="N532" s="427">
        <f t="shared" si="190"/>
        <v>8.94</v>
      </c>
      <c r="O532" s="427">
        <f t="shared" si="190"/>
        <v>19.260000000000002</v>
      </c>
      <c r="P532" s="427">
        <f t="shared" si="190"/>
        <v>31.2</v>
      </c>
      <c r="Q532" s="427">
        <f>SUM(E532:P532)</f>
        <v>200.16</v>
      </c>
    </row>
    <row r="533" spans="1:17" x14ac:dyDescent="0.2">
      <c r="D533" s="286"/>
      <c r="E533" s="466"/>
      <c r="F533" s="466"/>
      <c r="G533" s="466"/>
      <c r="H533" s="466"/>
      <c r="I533" s="466"/>
      <c r="J533" s="466"/>
      <c r="K533" s="466"/>
      <c r="L533" s="466"/>
      <c r="M533" s="466"/>
      <c r="N533" s="466"/>
      <c r="O533" s="466"/>
      <c r="P533" s="466"/>
      <c r="Q533" s="484"/>
    </row>
    <row r="534" spans="1:17" x14ac:dyDescent="0.2">
      <c r="A534" s="222">
        <f>A532+1</f>
        <v>7</v>
      </c>
      <c r="C534" s="219" t="s">
        <v>204</v>
      </c>
      <c r="D534" s="286"/>
      <c r="E534" s="427">
        <f t="shared" ref="E534:O534" si="191">E529+E532</f>
        <v>50.58</v>
      </c>
      <c r="F534" s="427">
        <f t="shared" si="191"/>
        <v>32.76</v>
      </c>
      <c r="G534" s="427">
        <f t="shared" si="191"/>
        <v>26.1</v>
      </c>
      <c r="H534" s="427">
        <f t="shared" si="191"/>
        <v>15.24</v>
      </c>
      <c r="I534" s="427">
        <f t="shared" si="191"/>
        <v>7.38</v>
      </c>
      <c r="J534" s="427">
        <f t="shared" si="191"/>
        <v>2.94</v>
      </c>
      <c r="K534" s="427">
        <f t="shared" si="191"/>
        <v>1.44</v>
      </c>
      <c r="L534" s="427">
        <f t="shared" si="191"/>
        <v>1.74</v>
      </c>
      <c r="M534" s="427">
        <f t="shared" si="191"/>
        <v>2.58</v>
      </c>
      <c r="N534" s="427">
        <f t="shared" si="191"/>
        <v>8.94</v>
      </c>
      <c r="O534" s="427">
        <f t="shared" si="191"/>
        <v>19.260000000000002</v>
      </c>
      <c r="P534" s="427">
        <f>P529+P532</f>
        <v>31.2</v>
      </c>
      <c r="Q534" s="427">
        <f>SUM(E534:P534)</f>
        <v>200.16</v>
      </c>
    </row>
    <row r="535" spans="1:17" x14ac:dyDescent="0.2">
      <c r="D535" s="286"/>
      <c r="E535" s="466"/>
      <c r="F535" s="466"/>
      <c r="G535" s="466"/>
      <c r="H535" s="466"/>
      <c r="I535" s="466"/>
      <c r="J535" s="466"/>
      <c r="K535" s="466"/>
      <c r="L535" s="466"/>
      <c r="M535" s="466"/>
      <c r="N535" s="466"/>
      <c r="O535" s="466"/>
      <c r="P535" s="466"/>
      <c r="Q535" s="459"/>
    </row>
    <row r="536" spans="1:17" x14ac:dyDescent="0.2">
      <c r="A536" s="222">
        <f>A534+1</f>
        <v>8</v>
      </c>
      <c r="C536" s="219" t="s">
        <v>151</v>
      </c>
      <c r="D536" s="783">
        <v>0</v>
      </c>
      <c r="E536" s="510">
        <v>0</v>
      </c>
      <c r="F536" s="510">
        <v>0</v>
      </c>
      <c r="G536" s="510">
        <v>0</v>
      </c>
      <c r="H536" s="510">
        <v>0</v>
      </c>
      <c r="I536" s="510">
        <v>0</v>
      </c>
      <c r="J536" s="510">
        <v>0</v>
      </c>
      <c r="K536" s="510">
        <v>0</v>
      </c>
      <c r="L536" s="510">
        <v>0</v>
      </c>
      <c r="M536" s="510">
        <v>0</v>
      </c>
      <c r="N536" s="510">
        <v>0</v>
      </c>
      <c r="O536" s="510">
        <v>0</v>
      </c>
      <c r="P536" s="510">
        <v>0</v>
      </c>
      <c r="Q536" s="427">
        <f>SUM(E536:P536)</f>
        <v>0</v>
      </c>
    </row>
    <row r="537" spans="1:17" x14ac:dyDescent="0.2">
      <c r="D537" s="286"/>
      <c r="E537" s="466"/>
      <c r="F537" s="466"/>
      <c r="G537" s="466"/>
      <c r="H537" s="466"/>
      <c r="I537" s="466"/>
      <c r="J537" s="466"/>
      <c r="K537" s="466"/>
      <c r="L537" s="466"/>
      <c r="M537" s="466"/>
      <c r="N537" s="466"/>
      <c r="O537" s="466"/>
      <c r="P537" s="466"/>
      <c r="Q537" s="459"/>
    </row>
    <row r="538" spans="1:17" ht="10.8" thickBot="1" x14ac:dyDescent="0.25">
      <c r="A538" s="446">
        <f>A536+1</f>
        <v>9</v>
      </c>
      <c r="B538" s="447"/>
      <c r="C538" s="489" t="s">
        <v>205</v>
      </c>
      <c r="D538" s="490"/>
      <c r="E538" s="492">
        <f t="shared" ref="E538:O538" si="192">E534+E536</f>
        <v>50.58</v>
      </c>
      <c r="F538" s="492">
        <f t="shared" si="192"/>
        <v>32.76</v>
      </c>
      <c r="G538" s="492">
        <f t="shared" si="192"/>
        <v>26.1</v>
      </c>
      <c r="H538" s="492">
        <f t="shared" si="192"/>
        <v>15.24</v>
      </c>
      <c r="I538" s="492">
        <f t="shared" si="192"/>
        <v>7.38</v>
      </c>
      <c r="J538" s="492">
        <f t="shared" si="192"/>
        <v>2.94</v>
      </c>
      <c r="K538" s="492">
        <f t="shared" si="192"/>
        <v>1.44</v>
      </c>
      <c r="L538" s="492">
        <f t="shared" si="192"/>
        <v>1.74</v>
      </c>
      <c r="M538" s="492">
        <f t="shared" si="192"/>
        <v>2.58</v>
      </c>
      <c r="N538" s="492">
        <f t="shared" si="192"/>
        <v>8.94</v>
      </c>
      <c r="O538" s="492">
        <f t="shared" si="192"/>
        <v>19.260000000000002</v>
      </c>
      <c r="P538" s="492">
        <f>P534+P536</f>
        <v>31.2</v>
      </c>
      <c r="Q538" s="492">
        <f>SUM(E538:P538)</f>
        <v>200.16</v>
      </c>
    </row>
    <row r="539" spans="1:17" ht="10.8" thickTop="1" x14ac:dyDescent="0.2">
      <c r="A539" s="302"/>
      <c r="B539" s="301"/>
      <c r="C539" s="301"/>
      <c r="D539" s="300"/>
      <c r="E539" s="486"/>
      <c r="F539" s="486"/>
      <c r="G539" s="486"/>
      <c r="H539" s="486"/>
      <c r="I539" s="486"/>
      <c r="J539" s="486"/>
      <c r="K539" s="486"/>
      <c r="L539" s="486"/>
      <c r="M539" s="486"/>
      <c r="N539" s="486"/>
      <c r="O539" s="486"/>
      <c r="P539" s="486"/>
      <c r="Q539" s="486"/>
    </row>
    <row r="540" spans="1:17" x14ac:dyDescent="0.2">
      <c r="Q540" s="412"/>
    </row>
    <row r="541" spans="1:17" x14ac:dyDescent="0.2">
      <c r="A541" s="222">
        <f>A538+1</f>
        <v>10</v>
      </c>
      <c r="B541" s="219" t="str">
        <f>B129</f>
        <v>LG2</v>
      </c>
      <c r="C541" s="219" t="str">
        <f>C129</f>
        <v xml:space="preserve">LG&amp;E Residential </v>
      </c>
    </row>
    <row r="543" spans="1:17" x14ac:dyDescent="0.2">
      <c r="A543" s="222">
        <f>A541+1</f>
        <v>11</v>
      </c>
      <c r="C543" s="223" t="s">
        <v>109</v>
      </c>
    </row>
    <row r="544" spans="1:17" x14ac:dyDescent="0.2">
      <c r="E544" s="222"/>
      <c r="F544" s="288"/>
      <c r="G544" s="469"/>
      <c r="H544" s="288"/>
      <c r="I544" s="293"/>
      <c r="J544" s="288"/>
      <c r="K544" s="288"/>
      <c r="L544" s="288"/>
    </row>
    <row r="545" spans="1:17" x14ac:dyDescent="0.2">
      <c r="A545" s="222">
        <f>A543+1</f>
        <v>12</v>
      </c>
      <c r="C545" s="219" t="s">
        <v>202</v>
      </c>
      <c r="E545" s="472">
        <f>B!D47</f>
        <v>1</v>
      </c>
      <c r="F545" s="472">
        <f>B!E47</f>
        <v>1</v>
      </c>
      <c r="G545" s="472">
        <f>B!F47</f>
        <v>1</v>
      </c>
      <c r="H545" s="472">
        <f>B!G47</f>
        <v>1</v>
      </c>
      <c r="I545" s="472">
        <f>B!H47</f>
        <v>1</v>
      </c>
      <c r="J545" s="472">
        <f>B!I47</f>
        <v>1</v>
      </c>
      <c r="K545" s="472">
        <f>B!J47</f>
        <v>1</v>
      </c>
      <c r="L545" s="472">
        <f>B!K47</f>
        <v>1</v>
      </c>
      <c r="M545" s="472">
        <f>B!L47</f>
        <v>1</v>
      </c>
      <c r="N545" s="472">
        <f>B!M47</f>
        <v>1</v>
      </c>
      <c r="O545" s="472">
        <f>B!N47</f>
        <v>1</v>
      </c>
      <c r="P545" s="472">
        <f>B!O47</f>
        <v>1</v>
      </c>
      <c r="Q545" s="505">
        <f>SUM(E545:P545)</f>
        <v>12</v>
      </c>
    </row>
    <row r="546" spans="1:17" x14ac:dyDescent="0.2">
      <c r="A546" s="222">
        <f>A545+1</f>
        <v>13</v>
      </c>
      <c r="C546" s="219" t="s">
        <v>210</v>
      </c>
      <c r="D546" s="781">
        <f>Input!H26</f>
        <v>0</v>
      </c>
      <c r="E546" s="427">
        <f t="shared" ref="E546:P546" si="193">ROUND(E545*$D$495,2)</f>
        <v>0</v>
      </c>
      <c r="F546" s="427">
        <f t="shared" si="193"/>
        <v>0</v>
      </c>
      <c r="G546" s="427">
        <f t="shared" si="193"/>
        <v>0</v>
      </c>
      <c r="H546" s="427">
        <f t="shared" si="193"/>
        <v>0</v>
      </c>
      <c r="I546" s="427">
        <f t="shared" si="193"/>
        <v>0</v>
      </c>
      <c r="J546" s="427">
        <f t="shared" si="193"/>
        <v>0</v>
      </c>
      <c r="K546" s="427">
        <f t="shared" si="193"/>
        <v>0</v>
      </c>
      <c r="L546" s="427">
        <f t="shared" si="193"/>
        <v>0</v>
      </c>
      <c r="M546" s="427">
        <f t="shared" si="193"/>
        <v>0</v>
      </c>
      <c r="N546" s="427">
        <f t="shared" si="193"/>
        <v>0</v>
      </c>
      <c r="O546" s="427">
        <f t="shared" si="193"/>
        <v>0</v>
      </c>
      <c r="P546" s="427">
        <f t="shared" si="193"/>
        <v>0</v>
      </c>
      <c r="Q546" s="427">
        <f>SUM(E546:P546)</f>
        <v>0</v>
      </c>
    </row>
    <row r="547" spans="1:17" x14ac:dyDescent="0.2">
      <c r="D547" s="286"/>
      <c r="E547" s="475"/>
      <c r="F547" s="288"/>
      <c r="G547" s="469"/>
      <c r="H547" s="288"/>
      <c r="I547" s="293"/>
      <c r="J547" s="507"/>
      <c r="K547" s="288"/>
      <c r="L547" s="288"/>
    </row>
    <row r="548" spans="1:17" x14ac:dyDescent="0.2">
      <c r="A548" s="222">
        <f>A546+1</f>
        <v>14</v>
      </c>
      <c r="C548" s="240" t="s">
        <v>209</v>
      </c>
      <c r="D548" s="512"/>
      <c r="E548" s="476">
        <f>'C'!D47</f>
        <v>161.1</v>
      </c>
      <c r="F548" s="476">
        <f>'C'!E47</f>
        <v>142.80000000000001</v>
      </c>
      <c r="G548" s="476">
        <f>'C'!F47</f>
        <v>70.5</v>
      </c>
      <c r="H548" s="476">
        <f>'C'!G47</f>
        <v>36.6</v>
      </c>
      <c r="I548" s="476">
        <f>'C'!H47</f>
        <v>15.2</v>
      </c>
      <c r="J548" s="293">
        <f>'C'!I47</f>
        <v>2.9</v>
      </c>
      <c r="K548" s="293">
        <f>'C'!J47</f>
        <v>3.2</v>
      </c>
      <c r="L548" s="476">
        <f>'C'!K47</f>
        <v>3.4</v>
      </c>
      <c r="M548" s="476">
        <f>'C'!L47</f>
        <v>3.8</v>
      </c>
      <c r="N548" s="476">
        <f>'C'!M47</f>
        <v>19</v>
      </c>
      <c r="O548" s="476">
        <f>'C'!N47</f>
        <v>51.7</v>
      </c>
      <c r="P548" s="476">
        <f>'C'!O47</f>
        <v>95</v>
      </c>
      <c r="Q548" s="506">
        <f>SUM(E548:P548)</f>
        <v>605.19999999999993</v>
      </c>
    </row>
    <row r="549" spans="1:17" x14ac:dyDescent="0.2">
      <c r="A549" s="222">
        <f>A548+1</f>
        <v>15</v>
      </c>
      <c r="C549" s="219" t="s">
        <v>212</v>
      </c>
      <c r="D549" s="782">
        <f>Input!C26</f>
        <v>0.35</v>
      </c>
      <c r="E549" s="427">
        <f t="shared" ref="E549:P549" si="194">ROUND(E548*$D$549,2)</f>
        <v>56.39</v>
      </c>
      <c r="F549" s="427">
        <f t="shared" si="194"/>
        <v>49.98</v>
      </c>
      <c r="G549" s="427">
        <f t="shared" si="194"/>
        <v>24.68</v>
      </c>
      <c r="H549" s="427">
        <f t="shared" si="194"/>
        <v>12.81</v>
      </c>
      <c r="I549" s="427">
        <f t="shared" si="194"/>
        <v>5.32</v>
      </c>
      <c r="J549" s="427">
        <f t="shared" si="194"/>
        <v>1.02</v>
      </c>
      <c r="K549" s="427">
        <f t="shared" si="194"/>
        <v>1.1200000000000001</v>
      </c>
      <c r="L549" s="427">
        <f t="shared" si="194"/>
        <v>1.19</v>
      </c>
      <c r="M549" s="427">
        <f t="shared" si="194"/>
        <v>1.33</v>
      </c>
      <c r="N549" s="427">
        <f t="shared" si="194"/>
        <v>6.65</v>
      </c>
      <c r="O549" s="427">
        <f t="shared" si="194"/>
        <v>18.100000000000001</v>
      </c>
      <c r="P549" s="427">
        <f t="shared" si="194"/>
        <v>33.25</v>
      </c>
      <c r="Q549" s="427">
        <f>SUM(E549:P549)</f>
        <v>211.84000000000003</v>
      </c>
    </row>
    <row r="550" spans="1:17" x14ac:dyDescent="0.2">
      <c r="D550" s="286"/>
      <c r="E550" s="459"/>
      <c r="F550" s="466"/>
      <c r="G550" s="466"/>
      <c r="H550" s="466"/>
      <c r="I550" s="466"/>
      <c r="J550" s="466"/>
      <c r="K550" s="466"/>
      <c r="L550" s="466"/>
      <c r="M550" s="459"/>
      <c r="N550" s="459"/>
      <c r="O550" s="459"/>
      <c r="P550" s="459"/>
      <c r="Q550" s="484"/>
    </row>
    <row r="551" spans="1:17" x14ac:dyDescent="0.2">
      <c r="A551" s="222">
        <f>A549+1</f>
        <v>16</v>
      </c>
      <c r="C551" s="219" t="s">
        <v>204</v>
      </c>
      <c r="D551" s="286"/>
      <c r="E551" s="427">
        <f t="shared" ref="E551:O551" si="195">E546+E549</f>
        <v>56.39</v>
      </c>
      <c r="F551" s="427">
        <f t="shared" si="195"/>
        <v>49.98</v>
      </c>
      <c r="G551" s="427">
        <f t="shared" si="195"/>
        <v>24.68</v>
      </c>
      <c r="H551" s="427">
        <f t="shared" si="195"/>
        <v>12.81</v>
      </c>
      <c r="I551" s="427">
        <f t="shared" si="195"/>
        <v>5.32</v>
      </c>
      <c r="J551" s="427">
        <f t="shared" si="195"/>
        <v>1.02</v>
      </c>
      <c r="K551" s="427">
        <f t="shared" si="195"/>
        <v>1.1200000000000001</v>
      </c>
      <c r="L551" s="427">
        <f t="shared" si="195"/>
        <v>1.19</v>
      </c>
      <c r="M551" s="427">
        <f t="shared" si="195"/>
        <v>1.33</v>
      </c>
      <c r="N551" s="427">
        <f t="shared" si="195"/>
        <v>6.65</v>
      </c>
      <c r="O551" s="427">
        <f t="shared" si="195"/>
        <v>18.100000000000001</v>
      </c>
      <c r="P551" s="427">
        <f>P546+P549</f>
        <v>33.25</v>
      </c>
      <c r="Q551" s="427">
        <f>SUM(E551:P551)</f>
        <v>211.84000000000003</v>
      </c>
    </row>
    <row r="552" spans="1:17" x14ac:dyDescent="0.2">
      <c r="D552" s="286"/>
      <c r="E552" s="466"/>
      <c r="F552" s="466"/>
      <c r="G552" s="466"/>
      <c r="H552" s="466"/>
      <c r="I552" s="466"/>
      <c r="J552" s="466"/>
      <c r="K552" s="466"/>
      <c r="L552" s="466"/>
      <c r="M552" s="466"/>
      <c r="N552" s="466"/>
      <c r="O552" s="466"/>
      <c r="P552" s="466"/>
      <c r="Q552" s="459"/>
    </row>
    <row r="553" spans="1:17" x14ac:dyDescent="0.2">
      <c r="A553" s="222">
        <f>A551+1</f>
        <v>17</v>
      </c>
      <c r="C553" s="219" t="s">
        <v>151</v>
      </c>
      <c r="D553" s="783">
        <v>0</v>
      </c>
      <c r="E553" s="510">
        <v>0</v>
      </c>
      <c r="F553" s="510">
        <v>0</v>
      </c>
      <c r="G553" s="510">
        <v>0</v>
      </c>
      <c r="H553" s="510">
        <v>0</v>
      </c>
      <c r="I553" s="510">
        <v>0</v>
      </c>
      <c r="J553" s="510">
        <v>0</v>
      </c>
      <c r="K553" s="510">
        <v>0</v>
      </c>
      <c r="L553" s="510">
        <v>0</v>
      </c>
      <c r="M553" s="510">
        <v>0</v>
      </c>
      <c r="N553" s="510">
        <v>0</v>
      </c>
      <c r="O553" s="510">
        <v>0</v>
      </c>
      <c r="P553" s="510">
        <v>0</v>
      </c>
      <c r="Q553" s="427">
        <f>SUM(E553:P553)</f>
        <v>0</v>
      </c>
    </row>
    <row r="554" spans="1:17" x14ac:dyDescent="0.2">
      <c r="E554" s="459"/>
      <c r="F554" s="459"/>
      <c r="G554" s="459"/>
      <c r="H554" s="459"/>
      <c r="I554" s="459"/>
      <c r="J554" s="459"/>
      <c r="K554" s="459"/>
      <c r="L554" s="459"/>
      <c r="M554" s="459"/>
      <c r="N554" s="459"/>
      <c r="O554" s="459"/>
      <c r="P554" s="459"/>
      <c r="Q554" s="459"/>
    </row>
    <row r="555" spans="1:17" ht="10.8" thickBot="1" x14ac:dyDescent="0.25">
      <c r="A555" s="488">
        <f>A553+1</f>
        <v>18</v>
      </c>
      <c r="B555" s="489"/>
      <c r="C555" s="489" t="s">
        <v>205</v>
      </c>
      <c r="D555" s="490"/>
      <c r="E555" s="492">
        <f t="shared" ref="E555:O555" si="196">E551+E553</f>
        <v>56.39</v>
      </c>
      <c r="F555" s="492">
        <f t="shared" si="196"/>
        <v>49.98</v>
      </c>
      <c r="G555" s="492">
        <f t="shared" si="196"/>
        <v>24.68</v>
      </c>
      <c r="H555" s="492">
        <f t="shared" si="196"/>
        <v>12.81</v>
      </c>
      <c r="I555" s="492">
        <f t="shared" si="196"/>
        <v>5.32</v>
      </c>
      <c r="J555" s="492">
        <f t="shared" si="196"/>
        <v>1.02</v>
      </c>
      <c r="K555" s="492">
        <f t="shared" si="196"/>
        <v>1.1200000000000001</v>
      </c>
      <c r="L555" s="492">
        <f t="shared" si="196"/>
        <v>1.19</v>
      </c>
      <c r="M555" s="492">
        <f t="shared" si="196"/>
        <v>1.33</v>
      </c>
      <c r="N555" s="492">
        <f t="shared" si="196"/>
        <v>6.65</v>
      </c>
      <c r="O555" s="492">
        <f t="shared" si="196"/>
        <v>18.100000000000001</v>
      </c>
      <c r="P555" s="492">
        <f>P551+P553</f>
        <v>33.25</v>
      </c>
      <c r="Q555" s="492">
        <f>SUM(E555:P555)</f>
        <v>211.84000000000003</v>
      </c>
    </row>
    <row r="556" spans="1:17" ht="10.8" thickTop="1" x14ac:dyDescent="0.2"/>
    <row r="558" spans="1:17" x14ac:dyDescent="0.2">
      <c r="A558" s="222">
        <f>A555+1</f>
        <v>19</v>
      </c>
      <c r="B558" s="219" t="str">
        <f>B136</f>
        <v>LG2</v>
      </c>
      <c r="C558" s="219" t="str">
        <f>C136</f>
        <v>LG&amp;E Commercial</v>
      </c>
    </row>
    <row r="560" spans="1:17" x14ac:dyDescent="0.2">
      <c r="A560" s="222">
        <f>A558+1</f>
        <v>20</v>
      </c>
      <c r="C560" s="223" t="s">
        <v>111</v>
      </c>
    </row>
    <row r="562" spans="1:17" x14ac:dyDescent="0.2">
      <c r="A562" s="222">
        <f>A560+1</f>
        <v>21</v>
      </c>
      <c r="C562" s="219" t="s">
        <v>202</v>
      </c>
      <c r="E562" s="472">
        <f>B!D52</f>
        <v>1</v>
      </c>
      <c r="F562" s="472">
        <f>B!E52</f>
        <v>1</v>
      </c>
      <c r="G562" s="472">
        <f>B!F52</f>
        <v>1</v>
      </c>
      <c r="H562" s="472">
        <f>B!G52</f>
        <v>1</v>
      </c>
      <c r="I562" s="472">
        <f>B!H52</f>
        <v>1</v>
      </c>
      <c r="J562" s="472">
        <f>B!I52</f>
        <v>1</v>
      </c>
      <c r="K562" s="472">
        <f>B!J52</f>
        <v>1</v>
      </c>
      <c r="L562" s="472">
        <f>B!K52</f>
        <v>1</v>
      </c>
      <c r="M562" s="472">
        <f>B!L52</f>
        <v>1</v>
      </c>
      <c r="N562" s="472">
        <f>B!M52</f>
        <v>1</v>
      </c>
      <c r="O562" s="472">
        <f>B!N52</f>
        <v>1</v>
      </c>
      <c r="P562" s="472">
        <f>B!O52</f>
        <v>1</v>
      </c>
      <c r="Q562" s="505">
        <f>SUM(E562:P562)</f>
        <v>12</v>
      </c>
    </row>
    <row r="563" spans="1:17" x14ac:dyDescent="0.2">
      <c r="A563" s="222">
        <f>A562+1</f>
        <v>22</v>
      </c>
      <c r="C563" s="219" t="s">
        <v>210</v>
      </c>
      <c r="D563" s="781">
        <f>Input!H27</f>
        <v>0</v>
      </c>
      <c r="E563" s="427">
        <f t="shared" ref="E563:P563" si="197">ROUND(E562*$D$495,2)</f>
        <v>0</v>
      </c>
      <c r="F563" s="427">
        <f t="shared" si="197"/>
        <v>0</v>
      </c>
      <c r="G563" s="427">
        <f t="shared" si="197"/>
        <v>0</v>
      </c>
      <c r="H563" s="427">
        <f t="shared" si="197"/>
        <v>0</v>
      </c>
      <c r="I563" s="427">
        <f t="shared" si="197"/>
        <v>0</v>
      </c>
      <c r="J563" s="427">
        <f t="shared" si="197"/>
        <v>0</v>
      </c>
      <c r="K563" s="427">
        <f t="shared" si="197"/>
        <v>0</v>
      </c>
      <c r="L563" s="427">
        <f t="shared" si="197"/>
        <v>0</v>
      </c>
      <c r="M563" s="427">
        <f t="shared" si="197"/>
        <v>0</v>
      </c>
      <c r="N563" s="427">
        <f t="shared" si="197"/>
        <v>0</v>
      </c>
      <c r="O563" s="427">
        <f t="shared" si="197"/>
        <v>0</v>
      </c>
      <c r="P563" s="427">
        <f t="shared" si="197"/>
        <v>0</v>
      </c>
      <c r="Q563" s="427">
        <f>SUM(E563:P563)</f>
        <v>0</v>
      </c>
    </row>
    <row r="564" spans="1:17" x14ac:dyDescent="0.2">
      <c r="D564" s="286"/>
      <c r="E564" s="475"/>
      <c r="F564" s="288"/>
      <c r="G564" s="469"/>
      <c r="H564" s="288"/>
      <c r="I564" s="293"/>
      <c r="J564" s="507"/>
      <c r="K564" s="288"/>
      <c r="L564" s="288"/>
    </row>
    <row r="565" spans="1:17" x14ac:dyDescent="0.2">
      <c r="A565" s="222">
        <f>A563+1</f>
        <v>23</v>
      </c>
      <c r="C565" s="240" t="s">
        <v>209</v>
      </c>
      <c r="D565" s="512"/>
      <c r="E565" s="476">
        <f>'C'!D52</f>
        <v>191.8</v>
      </c>
      <c r="F565" s="476">
        <f>'C'!E52</f>
        <v>167.7</v>
      </c>
      <c r="G565" s="476">
        <f>'C'!F52</f>
        <v>88.3</v>
      </c>
      <c r="H565" s="476">
        <f>'C'!G52</f>
        <v>54</v>
      </c>
      <c r="I565" s="476">
        <f>'C'!H52</f>
        <v>20.2</v>
      </c>
      <c r="J565" s="476">
        <f>'C'!I52</f>
        <v>7.6</v>
      </c>
      <c r="K565" s="476">
        <f>'C'!J52</f>
        <v>7.9</v>
      </c>
      <c r="L565" s="476">
        <f>'C'!K52</f>
        <v>6.8</v>
      </c>
      <c r="M565" s="476">
        <f>'C'!L52</f>
        <v>6.6</v>
      </c>
      <c r="N565" s="476">
        <f>'C'!M52</f>
        <v>14.8</v>
      </c>
      <c r="O565" s="476">
        <f>'C'!N52</f>
        <v>41.5</v>
      </c>
      <c r="P565" s="476">
        <f>'C'!O52</f>
        <v>103.7</v>
      </c>
      <c r="Q565" s="506">
        <f>SUM(E565:P565)</f>
        <v>710.9</v>
      </c>
    </row>
    <row r="566" spans="1:17" x14ac:dyDescent="0.2">
      <c r="A566" s="222">
        <f>A565+1</f>
        <v>24</v>
      </c>
      <c r="C566" s="219" t="s">
        <v>212</v>
      </c>
      <c r="D566" s="782">
        <f>Input!C27</f>
        <v>0.35</v>
      </c>
      <c r="E566" s="427">
        <f t="shared" ref="E566:P566" si="198">ROUND(E565*$D$566,2)</f>
        <v>67.13</v>
      </c>
      <c r="F566" s="427">
        <f t="shared" si="198"/>
        <v>58.7</v>
      </c>
      <c r="G566" s="427">
        <f t="shared" si="198"/>
        <v>30.91</v>
      </c>
      <c r="H566" s="427">
        <f t="shared" si="198"/>
        <v>18.899999999999999</v>
      </c>
      <c r="I566" s="427">
        <f t="shared" si="198"/>
        <v>7.07</v>
      </c>
      <c r="J566" s="427">
        <f t="shared" si="198"/>
        <v>2.66</v>
      </c>
      <c r="K566" s="427">
        <f t="shared" si="198"/>
        <v>2.77</v>
      </c>
      <c r="L566" s="427">
        <f t="shared" si="198"/>
        <v>2.38</v>
      </c>
      <c r="M566" s="427">
        <f t="shared" si="198"/>
        <v>2.31</v>
      </c>
      <c r="N566" s="427">
        <f t="shared" si="198"/>
        <v>5.18</v>
      </c>
      <c r="O566" s="427">
        <f t="shared" si="198"/>
        <v>14.53</v>
      </c>
      <c r="P566" s="427">
        <f t="shared" si="198"/>
        <v>36.299999999999997</v>
      </c>
      <c r="Q566" s="427">
        <f>SUM(E566:P566)</f>
        <v>248.84000000000003</v>
      </c>
    </row>
    <row r="567" spans="1:17" x14ac:dyDescent="0.2">
      <c r="D567" s="286"/>
      <c r="E567" s="459"/>
      <c r="F567" s="466"/>
      <c r="G567" s="466"/>
      <c r="H567" s="466"/>
      <c r="I567" s="466"/>
      <c r="J567" s="466"/>
      <c r="K567" s="466"/>
      <c r="L567" s="466"/>
      <c r="M567" s="459"/>
      <c r="N567" s="459"/>
      <c r="O567" s="459"/>
      <c r="P567" s="459"/>
      <c r="Q567" s="484"/>
    </row>
    <row r="568" spans="1:17" x14ac:dyDescent="0.2">
      <c r="A568" s="222">
        <f>A566+1</f>
        <v>25</v>
      </c>
      <c r="C568" s="219" t="s">
        <v>204</v>
      </c>
      <c r="D568" s="286"/>
      <c r="E568" s="427">
        <f t="shared" ref="E568:O568" si="199">E563+E566</f>
        <v>67.13</v>
      </c>
      <c r="F568" s="427">
        <f t="shared" si="199"/>
        <v>58.7</v>
      </c>
      <c r="G568" s="427">
        <f t="shared" si="199"/>
        <v>30.91</v>
      </c>
      <c r="H568" s="427">
        <f t="shared" si="199"/>
        <v>18.899999999999999</v>
      </c>
      <c r="I568" s="427">
        <f t="shared" si="199"/>
        <v>7.07</v>
      </c>
      <c r="J568" s="427">
        <f t="shared" si="199"/>
        <v>2.66</v>
      </c>
      <c r="K568" s="427">
        <f t="shared" si="199"/>
        <v>2.77</v>
      </c>
      <c r="L568" s="427">
        <f t="shared" si="199"/>
        <v>2.38</v>
      </c>
      <c r="M568" s="427">
        <f t="shared" si="199"/>
        <v>2.31</v>
      </c>
      <c r="N568" s="427">
        <f t="shared" si="199"/>
        <v>5.18</v>
      </c>
      <c r="O568" s="427">
        <f t="shared" si="199"/>
        <v>14.53</v>
      </c>
      <c r="P568" s="427">
        <f>P563+P566</f>
        <v>36.299999999999997</v>
      </c>
      <c r="Q568" s="427">
        <f>SUM(E568:P568)</f>
        <v>248.84000000000003</v>
      </c>
    </row>
    <row r="569" spans="1:17" x14ac:dyDescent="0.2">
      <c r="D569" s="286"/>
      <c r="E569" s="459"/>
      <c r="F569" s="459"/>
      <c r="G569" s="459"/>
      <c r="H569" s="459"/>
      <c r="I569" s="459"/>
      <c r="J569" s="459"/>
      <c r="K569" s="459"/>
      <c r="L569" s="459"/>
      <c r="M569" s="459"/>
      <c r="N569" s="459"/>
      <c r="O569" s="459"/>
      <c r="P569" s="459"/>
      <c r="Q569" s="459"/>
    </row>
    <row r="570" spans="1:17" x14ac:dyDescent="0.2">
      <c r="A570" s="222">
        <f>A568+1</f>
        <v>26</v>
      </c>
      <c r="C570" s="222" t="s">
        <v>151</v>
      </c>
      <c r="D570" s="783">
        <v>0</v>
      </c>
      <c r="E570" s="510">
        <v>0</v>
      </c>
      <c r="F570" s="510">
        <v>0</v>
      </c>
      <c r="G570" s="510">
        <v>0</v>
      </c>
      <c r="H570" s="510">
        <v>0</v>
      </c>
      <c r="I570" s="510">
        <v>0</v>
      </c>
      <c r="J570" s="510">
        <v>0</v>
      </c>
      <c r="K570" s="510">
        <v>0</v>
      </c>
      <c r="L570" s="510">
        <v>0</v>
      </c>
      <c r="M570" s="510">
        <v>0</v>
      </c>
      <c r="N570" s="510">
        <v>0</v>
      </c>
      <c r="O570" s="510">
        <v>0</v>
      </c>
      <c r="P570" s="510">
        <v>0</v>
      </c>
      <c r="Q570" s="427">
        <f>SUM(E570:P570)</f>
        <v>0</v>
      </c>
    </row>
    <row r="571" spans="1:17" x14ac:dyDescent="0.2">
      <c r="E571" s="459"/>
      <c r="F571" s="459"/>
      <c r="G571" s="459"/>
      <c r="H571" s="459"/>
      <c r="I571" s="459"/>
      <c r="J571" s="459"/>
      <c r="K571" s="459"/>
      <c r="L571" s="459"/>
      <c r="M571" s="459"/>
      <c r="N571" s="459"/>
      <c r="O571" s="459"/>
      <c r="P571" s="459"/>
      <c r="Q571" s="459"/>
    </row>
    <row r="572" spans="1:17" ht="10.8" thickBot="1" x14ac:dyDescent="0.25">
      <c r="A572" s="488">
        <f>A570+1</f>
        <v>27</v>
      </c>
      <c r="B572" s="489"/>
      <c r="C572" s="489" t="s">
        <v>205</v>
      </c>
      <c r="D572" s="490"/>
      <c r="E572" s="492">
        <f t="shared" ref="E572:O572" si="200">E568+E570</f>
        <v>67.13</v>
      </c>
      <c r="F572" s="492">
        <f t="shared" si="200"/>
        <v>58.7</v>
      </c>
      <c r="G572" s="492">
        <f t="shared" si="200"/>
        <v>30.91</v>
      </c>
      <c r="H572" s="492">
        <f t="shared" si="200"/>
        <v>18.899999999999999</v>
      </c>
      <c r="I572" s="492">
        <f t="shared" si="200"/>
        <v>7.07</v>
      </c>
      <c r="J572" s="492">
        <f t="shared" si="200"/>
        <v>2.66</v>
      </c>
      <c r="K572" s="492">
        <f t="shared" si="200"/>
        <v>2.77</v>
      </c>
      <c r="L572" s="492">
        <f t="shared" si="200"/>
        <v>2.38</v>
      </c>
      <c r="M572" s="492">
        <f t="shared" si="200"/>
        <v>2.31</v>
      </c>
      <c r="N572" s="492">
        <f t="shared" si="200"/>
        <v>5.18</v>
      </c>
      <c r="O572" s="492">
        <f t="shared" si="200"/>
        <v>14.53</v>
      </c>
      <c r="P572" s="492">
        <f>P568+P570</f>
        <v>36.299999999999997</v>
      </c>
      <c r="Q572" s="492">
        <f>SUM(E572:P572)</f>
        <v>248.84000000000003</v>
      </c>
    </row>
    <row r="573" spans="1:17" ht="10.8" thickTop="1" x14ac:dyDescent="0.2"/>
    <row r="575" spans="1:17" x14ac:dyDescent="0.2">
      <c r="A575" s="222" t="str">
        <f>$A$270</f>
        <v>[1] Reflects Normalized Volumes.</v>
      </c>
    </row>
    <row r="576" spans="1:17" x14ac:dyDescent="0.2">
      <c r="A576" s="993" t="str">
        <f>CONAME</f>
        <v>Columbia Gas of Kentucky, Inc.</v>
      </c>
      <c r="B576" s="993"/>
      <c r="C576" s="993"/>
      <c r="D576" s="993"/>
      <c r="E576" s="993"/>
      <c r="F576" s="993"/>
      <c r="G576" s="993"/>
      <c r="H576" s="993"/>
      <c r="I576" s="993"/>
      <c r="J576" s="993"/>
      <c r="K576" s="993"/>
      <c r="L576" s="993"/>
      <c r="M576" s="993"/>
      <c r="N576" s="993"/>
      <c r="O576" s="993"/>
      <c r="P576" s="993"/>
      <c r="Q576" s="993"/>
    </row>
    <row r="577" spans="1:17" x14ac:dyDescent="0.2">
      <c r="A577" s="981" t="str">
        <f>case</f>
        <v>Case No. 2016-00162</v>
      </c>
      <c r="B577" s="981"/>
      <c r="C577" s="981"/>
      <c r="D577" s="981"/>
      <c r="E577" s="981"/>
      <c r="F577" s="981"/>
      <c r="G577" s="981"/>
      <c r="H577" s="981"/>
      <c r="I577" s="981"/>
      <c r="J577" s="981"/>
      <c r="K577" s="981"/>
      <c r="L577" s="981"/>
      <c r="M577" s="981"/>
      <c r="N577" s="981"/>
      <c r="O577" s="981"/>
      <c r="P577" s="981"/>
      <c r="Q577" s="981"/>
    </row>
    <row r="578" spans="1:17" x14ac:dyDescent="0.2">
      <c r="A578" s="994" t="s">
        <v>495</v>
      </c>
      <c r="B578" s="994"/>
      <c r="C578" s="994"/>
      <c r="D578" s="994"/>
      <c r="E578" s="994"/>
      <c r="F578" s="994"/>
      <c r="G578" s="994"/>
      <c r="H578" s="994"/>
      <c r="I578" s="994"/>
      <c r="J578" s="994"/>
      <c r="K578" s="994"/>
      <c r="L578" s="994"/>
      <c r="M578" s="994"/>
      <c r="N578" s="994"/>
      <c r="O578" s="994"/>
      <c r="P578" s="994"/>
      <c r="Q578" s="994"/>
    </row>
    <row r="579" spans="1:17" x14ac:dyDescent="0.2">
      <c r="A579" s="993" t="str">
        <f>TYDESC</f>
        <v>For the 12 Months Ended December 31, 2017</v>
      </c>
      <c r="B579" s="993"/>
      <c r="C579" s="993"/>
      <c r="D579" s="993"/>
      <c r="E579" s="993"/>
      <c r="F579" s="993"/>
      <c r="G579" s="993"/>
      <c r="H579" s="993"/>
      <c r="I579" s="993"/>
      <c r="J579" s="993"/>
      <c r="K579" s="993"/>
      <c r="L579" s="993"/>
      <c r="M579" s="993"/>
      <c r="N579" s="993"/>
      <c r="O579" s="993"/>
      <c r="P579" s="993"/>
      <c r="Q579" s="993"/>
    </row>
    <row r="580" spans="1:17" x14ac:dyDescent="0.2">
      <c r="A580" s="991" t="s">
        <v>39</v>
      </c>
      <c r="B580" s="991"/>
      <c r="C580" s="991"/>
      <c r="D580" s="991"/>
      <c r="E580" s="991"/>
      <c r="F580" s="991"/>
      <c r="G580" s="991"/>
      <c r="H580" s="991"/>
      <c r="I580" s="991"/>
      <c r="J580" s="991"/>
      <c r="K580" s="991"/>
      <c r="L580" s="991"/>
      <c r="M580" s="991"/>
      <c r="N580" s="991"/>
      <c r="O580" s="991"/>
      <c r="P580" s="991"/>
      <c r="Q580" s="991"/>
    </row>
    <row r="581" spans="1:17" x14ac:dyDescent="0.2">
      <c r="A581" s="262" t="str">
        <f>$A$52</f>
        <v>Data: __ Base Period _X_ Forecasted Period</v>
      </c>
    </row>
    <row r="582" spans="1:17" x14ac:dyDescent="0.2">
      <c r="A582" s="262" t="str">
        <f>$A$53</f>
        <v>Type of Filing: X Original _ Update _ Revised</v>
      </c>
      <c r="Q582" s="413" t="str">
        <f>$Q$53</f>
        <v>Schedule M-2.2</v>
      </c>
    </row>
    <row r="583" spans="1:17" x14ac:dyDescent="0.2">
      <c r="A583" s="262" t="str">
        <f>$A$54</f>
        <v>Work Paper Reference No(s):</v>
      </c>
      <c r="Q583" s="413" t="s">
        <v>513</v>
      </c>
    </row>
    <row r="584" spans="1:17" x14ac:dyDescent="0.2">
      <c r="A584" s="414" t="str">
        <f>$A$55</f>
        <v>12 Months Forecasted</v>
      </c>
      <c r="Q584" s="413" t="str">
        <f>Witness</f>
        <v>Witness:  M. J. Bell</v>
      </c>
    </row>
    <row r="585" spans="1:17" x14ac:dyDescent="0.2">
      <c r="A585" s="992" t="s">
        <v>194</v>
      </c>
      <c r="B585" s="992"/>
      <c r="C585" s="992"/>
      <c r="D585" s="992"/>
      <c r="E585" s="992"/>
      <c r="F585" s="992"/>
      <c r="G585" s="992"/>
      <c r="H585" s="992"/>
      <c r="I585" s="992"/>
      <c r="J585" s="992"/>
      <c r="K585" s="992"/>
      <c r="L585" s="992"/>
      <c r="M585" s="992"/>
      <c r="N585" s="992"/>
      <c r="O585" s="992"/>
      <c r="P585" s="992"/>
      <c r="Q585" s="992"/>
    </row>
    <row r="586" spans="1:17" x14ac:dyDescent="0.2">
      <c r="A586" s="433"/>
      <c r="B586" s="301"/>
      <c r="C586" s="301"/>
      <c r="D586" s="300"/>
      <c r="E586" s="301"/>
      <c r="F586" s="415"/>
      <c r="G586" s="435"/>
      <c r="H586" s="415"/>
      <c r="I586" s="436"/>
      <c r="J586" s="415"/>
      <c r="K586" s="415"/>
      <c r="L586" s="415"/>
      <c r="M586" s="415"/>
      <c r="N586" s="415"/>
      <c r="O586" s="415"/>
      <c r="P586" s="415"/>
      <c r="Q586" s="301"/>
    </row>
    <row r="587" spans="1:17" x14ac:dyDescent="0.2">
      <c r="A587" s="410" t="s">
        <v>1</v>
      </c>
      <c r="B587" s="224" t="s">
        <v>0</v>
      </c>
      <c r="C587" s="224" t="s">
        <v>41</v>
      </c>
      <c r="D587" s="416" t="s">
        <v>47</v>
      </c>
      <c r="E587" s="224"/>
      <c r="F587" s="417"/>
      <c r="G587" s="418"/>
      <c r="H587" s="417"/>
      <c r="I587" s="419"/>
      <c r="J587" s="417"/>
      <c r="K587" s="417"/>
      <c r="L587" s="417"/>
      <c r="M587" s="417"/>
      <c r="N587" s="417"/>
      <c r="O587" s="417"/>
      <c r="P587" s="417"/>
      <c r="Q587" s="229"/>
    </row>
    <row r="588" spans="1:17" x14ac:dyDescent="0.2">
      <c r="A588" s="281" t="s">
        <v>3</v>
      </c>
      <c r="B588" s="226" t="s">
        <v>40</v>
      </c>
      <c r="C588" s="226" t="s">
        <v>4</v>
      </c>
      <c r="D588" s="420" t="s">
        <v>48</v>
      </c>
      <c r="E588" s="421" t="str">
        <f>B!$D$11</f>
        <v>Jan-17</v>
      </c>
      <c r="F588" s="421" t="str">
        <f>B!$E$11</f>
        <v>Feb-17</v>
      </c>
      <c r="G588" s="421" t="str">
        <f>B!$F$11</f>
        <v>Mar-17</v>
      </c>
      <c r="H588" s="421" t="str">
        <f>B!$G$11</f>
        <v>Apr-17</v>
      </c>
      <c r="I588" s="421" t="str">
        <f>B!$H$11</f>
        <v>May-17</v>
      </c>
      <c r="J588" s="421" t="str">
        <f>B!$I$11</f>
        <v>Jun-17</v>
      </c>
      <c r="K588" s="421" t="str">
        <f>B!$J$11</f>
        <v>Jul-17</v>
      </c>
      <c r="L588" s="421" t="str">
        <f>B!$K$11</f>
        <v>Aug-17</v>
      </c>
      <c r="M588" s="421" t="str">
        <f>B!$L$11</f>
        <v>Sep-17</v>
      </c>
      <c r="N588" s="421" t="str">
        <f>B!$M$11</f>
        <v>Oct-17</v>
      </c>
      <c r="O588" s="421" t="str">
        <f>B!$N$11</f>
        <v>Nov-17</v>
      </c>
      <c r="P588" s="421" t="str">
        <f>B!$O$11</f>
        <v>Dec-17</v>
      </c>
      <c r="Q588" s="422" t="s">
        <v>9</v>
      </c>
    </row>
    <row r="589" spans="1:17" x14ac:dyDescent="0.2">
      <c r="A589" s="410"/>
      <c r="B589" s="229" t="s">
        <v>42</v>
      </c>
      <c r="C589" s="229" t="s">
        <v>43</v>
      </c>
      <c r="D589" s="423" t="s">
        <v>45</v>
      </c>
      <c r="E589" s="424" t="s">
        <v>46</v>
      </c>
      <c r="F589" s="424" t="s">
        <v>49</v>
      </c>
      <c r="G589" s="424" t="s">
        <v>50</v>
      </c>
      <c r="H589" s="424" t="s">
        <v>51</v>
      </c>
      <c r="I589" s="424" t="s">
        <v>52</v>
      </c>
      <c r="J589" s="424" t="s">
        <v>53</v>
      </c>
      <c r="K589" s="425" t="s">
        <v>54</v>
      </c>
      <c r="L589" s="425" t="s">
        <v>55</v>
      </c>
      <c r="M589" s="425" t="s">
        <v>56</v>
      </c>
      <c r="N589" s="425" t="s">
        <v>57</v>
      </c>
      <c r="O589" s="425" t="s">
        <v>58</v>
      </c>
      <c r="P589" s="425" t="s">
        <v>59</v>
      </c>
      <c r="Q589" s="425" t="s">
        <v>203</v>
      </c>
    </row>
    <row r="590" spans="1:17" x14ac:dyDescent="0.2">
      <c r="E590" s="229"/>
      <c r="F590" s="425"/>
      <c r="G590" s="437"/>
      <c r="H590" s="425"/>
      <c r="I590" s="424"/>
      <c r="J590" s="425"/>
      <c r="K590" s="425"/>
      <c r="L590" s="425"/>
      <c r="M590" s="425"/>
      <c r="N590" s="425"/>
      <c r="O590" s="425"/>
      <c r="P590" s="425"/>
      <c r="Q590" s="229"/>
    </row>
    <row r="591" spans="1:17" x14ac:dyDescent="0.2">
      <c r="A591" s="222">
        <v>1</v>
      </c>
      <c r="B591" s="219" t="str">
        <f>B143</f>
        <v>LG3</v>
      </c>
      <c r="C591" s="219" t="str">
        <f>C143</f>
        <v>LG&amp;E Residential</v>
      </c>
    </row>
    <row r="593" spans="1:17" x14ac:dyDescent="0.2">
      <c r="A593" s="222">
        <f>A591+1</f>
        <v>2</v>
      </c>
      <c r="C593" s="223" t="s">
        <v>109</v>
      </c>
    </row>
    <row r="594" spans="1:17" x14ac:dyDescent="0.2">
      <c r="D594" s="219"/>
      <c r="F594" s="219"/>
      <c r="G594" s="219"/>
      <c r="H594" s="219"/>
      <c r="I594" s="219"/>
      <c r="J594" s="219"/>
      <c r="K594" s="219"/>
      <c r="L594" s="219"/>
      <c r="M594" s="219"/>
      <c r="N594" s="219"/>
      <c r="O594" s="219"/>
      <c r="P594" s="219"/>
    </row>
    <row r="595" spans="1:17" x14ac:dyDescent="0.2">
      <c r="A595" s="222">
        <f>A593+1</f>
        <v>3</v>
      </c>
      <c r="C595" s="219" t="s">
        <v>202</v>
      </c>
      <c r="E595" s="472">
        <f>B!D70</f>
        <v>1</v>
      </c>
      <c r="F595" s="472">
        <f>B!E70</f>
        <v>1</v>
      </c>
      <c r="G595" s="472">
        <f>B!F70</f>
        <v>1</v>
      </c>
      <c r="H595" s="472">
        <f>B!G70</f>
        <v>1</v>
      </c>
      <c r="I595" s="472">
        <f>B!H70</f>
        <v>1</v>
      </c>
      <c r="J595" s="472">
        <f>B!I70</f>
        <v>1</v>
      </c>
      <c r="K595" s="472">
        <f>B!J70</f>
        <v>1</v>
      </c>
      <c r="L595" s="472">
        <f>B!K70</f>
        <v>1</v>
      </c>
      <c r="M595" s="472">
        <f>B!L70</f>
        <v>1</v>
      </c>
      <c r="N595" s="472">
        <f>B!M70</f>
        <v>1</v>
      </c>
      <c r="O595" s="472">
        <f>B!N70</f>
        <v>1</v>
      </c>
      <c r="P595" s="472">
        <f>B!O70</f>
        <v>1</v>
      </c>
      <c r="Q595" s="473">
        <f>SUM(E595:P595)</f>
        <v>12</v>
      </c>
    </row>
    <row r="596" spans="1:17" x14ac:dyDescent="0.2">
      <c r="A596" s="222">
        <f>A595+1</f>
        <v>4</v>
      </c>
      <c r="C596" s="219" t="s">
        <v>210</v>
      </c>
      <c r="D596" s="781">
        <f>Input!H28</f>
        <v>1.2</v>
      </c>
      <c r="E596" s="427">
        <f t="shared" ref="E596:P596" si="201">ROUND(E595*$D$596,2)</f>
        <v>1.2</v>
      </c>
      <c r="F596" s="427">
        <f t="shared" si="201"/>
        <v>1.2</v>
      </c>
      <c r="G596" s="427">
        <f t="shared" si="201"/>
        <v>1.2</v>
      </c>
      <c r="H596" s="427">
        <f t="shared" si="201"/>
        <v>1.2</v>
      </c>
      <c r="I596" s="427">
        <f t="shared" si="201"/>
        <v>1.2</v>
      </c>
      <c r="J596" s="427">
        <f t="shared" si="201"/>
        <v>1.2</v>
      </c>
      <c r="K596" s="427">
        <f t="shared" si="201"/>
        <v>1.2</v>
      </c>
      <c r="L596" s="427">
        <f t="shared" si="201"/>
        <v>1.2</v>
      </c>
      <c r="M596" s="427">
        <f t="shared" si="201"/>
        <v>1.2</v>
      </c>
      <c r="N596" s="427">
        <f t="shared" si="201"/>
        <v>1.2</v>
      </c>
      <c r="O596" s="427">
        <f t="shared" si="201"/>
        <v>1.2</v>
      </c>
      <c r="P596" s="427">
        <f t="shared" si="201"/>
        <v>1.2</v>
      </c>
      <c r="Q596" s="427">
        <f>SUM(E596:P596)</f>
        <v>14.399999999999997</v>
      </c>
    </row>
    <row r="597" spans="1:17" x14ac:dyDescent="0.2">
      <c r="D597" s="286"/>
      <c r="E597" s="222"/>
      <c r="F597" s="288"/>
      <c r="G597" s="469"/>
      <c r="H597" s="288"/>
      <c r="I597" s="293"/>
      <c r="J597" s="507"/>
      <c r="K597" s="288"/>
    </row>
    <row r="598" spans="1:17" x14ac:dyDescent="0.2">
      <c r="A598" s="222">
        <f>A596+1</f>
        <v>5</v>
      </c>
      <c r="C598" s="240" t="s">
        <v>209</v>
      </c>
      <c r="D598" s="286"/>
      <c r="E598" s="514"/>
      <c r="F598" s="288"/>
      <c r="G598" s="469"/>
      <c r="H598" s="288"/>
      <c r="I598" s="293"/>
      <c r="J598" s="507"/>
      <c r="K598" s="288"/>
    </row>
    <row r="599" spans="1:17" x14ac:dyDescent="0.2">
      <c r="A599" s="222">
        <f>A598+1</f>
        <v>6</v>
      </c>
      <c r="C599" s="219" t="str">
        <f>'C'!B69</f>
        <v xml:space="preserve">    First 2 Mcf</v>
      </c>
      <c r="D599" s="222"/>
      <c r="E599" s="293">
        <f>'C'!D69</f>
        <v>2</v>
      </c>
      <c r="F599" s="293">
        <f>'C'!E69</f>
        <v>2</v>
      </c>
      <c r="G599" s="293">
        <f>'C'!F69</f>
        <v>2</v>
      </c>
      <c r="H599" s="293">
        <f>'C'!G69</f>
        <v>2</v>
      </c>
      <c r="I599" s="293">
        <f>'C'!H69</f>
        <v>2</v>
      </c>
      <c r="J599" s="293">
        <f>'C'!I69</f>
        <v>2.4</v>
      </c>
      <c r="K599" s="293">
        <f>'C'!J69</f>
        <v>2</v>
      </c>
      <c r="L599" s="293">
        <f>'C'!K69</f>
        <v>2</v>
      </c>
      <c r="M599" s="293">
        <f>'C'!L69</f>
        <v>2</v>
      </c>
      <c r="N599" s="293">
        <f>'C'!M69</f>
        <v>2</v>
      </c>
      <c r="O599" s="293">
        <f>'C'!N69</f>
        <v>2</v>
      </c>
      <c r="P599" s="293">
        <f>'C'!O69</f>
        <v>2</v>
      </c>
      <c r="Q599" s="506">
        <f>SUM(E599:P599)</f>
        <v>24.4</v>
      </c>
    </row>
    <row r="600" spans="1:17" x14ac:dyDescent="0.2">
      <c r="A600" s="222">
        <f>A599+1</f>
        <v>7</v>
      </c>
      <c r="C600" s="219" t="str">
        <f>'C'!B70</f>
        <v xml:space="preserve">    Over 2 Mcf</v>
      </c>
      <c r="D600" s="222"/>
      <c r="E600" s="515">
        <f>'C'!D70</f>
        <v>89.8</v>
      </c>
      <c r="F600" s="515">
        <f>'C'!E70</f>
        <v>71.400000000000006</v>
      </c>
      <c r="G600" s="515">
        <f>'C'!F70</f>
        <v>43.4</v>
      </c>
      <c r="H600" s="515">
        <f>'C'!G70</f>
        <v>102.5</v>
      </c>
      <c r="I600" s="515">
        <f>'C'!H70</f>
        <v>65.400000000000006</v>
      </c>
      <c r="J600" s="515">
        <f>'C'!I70</f>
        <v>24.1</v>
      </c>
      <c r="K600" s="515">
        <f>'C'!J70</f>
        <v>24.2</v>
      </c>
      <c r="L600" s="515">
        <f>'C'!K70</f>
        <v>9.8000000000000007</v>
      </c>
      <c r="M600" s="515">
        <f>'C'!L70</f>
        <v>24.2</v>
      </c>
      <c r="N600" s="515">
        <f>'C'!M70</f>
        <v>73.900000000000006</v>
      </c>
      <c r="O600" s="515">
        <f>'C'!N70</f>
        <v>103.5</v>
      </c>
      <c r="P600" s="515">
        <f>'C'!O70</f>
        <v>57.5</v>
      </c>
      <c r="Q600" s="515">
        <f>SUM(E600:P600)</f>
        <v>689.7</v>
      </c>
    </row>
    <row r="601" spans="1:17" x14ac:dyDescent="0.2">
      <c r="D601" s="286"/>
      <c r="E601" s="293">
        <f t="shared" ref="E601:O601" si="202">SUM(E599:E600)</f>
        <v>91.8</v>
      </c>
      <c r="F601" s="293">
        <f t="shared" si="202"/>
        <v>73.400000000000006</v>
      </c>
      <c r="G601" s="293">
        <f t="shared" si="202"/>
        <v>45.4</v>
      </c>
      <c r="H601" s="293">
        <f t="shared" si="202"/>
        <v>104.5</v>
      </c>
      <c r="I601" s="293">
        <f t="shared" si="202"/>
        <v>67.400000000000006</v>
      </c>
      <c r="J601" s="293">
        <f t="shared" si="202"/>
        <v>26.5</v>
      </c>
      <c r="K601" s="293">
        <f t="shared" si="202"/>
        <v>26.2</v>
      </c>
      <c r="L601" s="293">
        <f t="shared" si="202"/>
        <v>11.8</v>
      </c>
      <c r="M601" s="293">
        <f t="shared" si="202"/>
        <v>26.2</v>
      </c>
      <c r="N601" s="293">
        <f t="shared" si="202"/>
        <v>75.900000000000006</v>
      </c>
      <c r="O601" s="293">
        <f t="shared" si="202"/>
        <v>105.5</v>
      </c>
      <c r="P601" s="293">
        <f>SUM(P599:P600)</f>
        <v>59.5</v>
      </c>
      <c r="Q601" s="477">
        <f>SUM(E601:P601)</f>
        <v>714.1</v>
      </c>
    </row>
    <row r="602" spans="1:17" x14ac:dyDescent="0.2">
      <c r="A602" s="222">
        <f>A600+1</f>
        <v>8</v>
      </c>
      <c r="C602" s="219" t="s">
        <v>207</v>
      </c>
      <c r="D602" s="286"/>
      <c r="E602" s="222"/>
      <c r="F602" s="288"/>
      <c r="G602" s="469"/>
      <c r="H602" s="288"/>
      <c r="I602" s="293"/>
      <c r="J602" s="288"/>
      <c r="K602" s="288"/>
    </row>
    <row r="603" spans="1:17" x14ac:dyDescent="0.2">
      <c r="A603" s="222">
        <f>A602+1</f>
        <v>9</v>
      </c>
      <c r="C603" s="219" t="str">
        <f>C599</f>
        <v xml:space="preserve">    First 2 Mcf</v>
      </c>
      <c r="D603" s="782">
        <f>Input!C28</f>
        <v>0</v>
      </c>
      <c r="E603" s="427">
        <f t="shared" ref="E603:P603" si="203">ROUND(E599*$D$603,2)</f>
        <v>0</v>
      </c>
      <c r="F603" s="427">
        <f t="shared" si="203"/>
        <v>0</v>
      </c>
      <c r="G603" s="427">
        <f t="shared" si="203"/>
        <v>0</v>
      </c>
      <c r="H603" s="427">
        <f t="shared" si="203"/>
        <v>0</v>
      </c>
      <c r="I603" s="427">
        <f t="shared" si="203"/>
        <v>0</v>
      </c>
      <c r="J603" s="427">
        <f t="shared" si="203"/>
        <v>0</v>
      </c>
      <c r="K603" s="427">
        <f t="shared" si="203"/>
        <v>0</v>
      </c>
      <c r="L603" s="427">
        <f t="shared" si="203"/>
        <v>0</v>
      </c>
      <c r="M603" s="427">
        <f t="shared" si="203"/>
        <v>0</v>
      </c>
      <c r="N603" s="427">
        <f t="shared" si="203"/>
        <v>0</v>
      </c>
      <c r="O603" s="427">
        <f t="shared" si="203"/>
        <v>0</v>
      </c>
      <c r="P603" s="427">
        <f t="shared" si="203"/>
        <v>0</v>
      </c>
      <c r="Q603" s="427">
        <f>SUM(E603:P603)</f>
        <v>0</v>
      </c>
    </row>
    <row r="604" spans="1:17" x14ac:dyDescent="0.2">
      <c r="A604" s="222">
        <f>A603+1</f>
        <v>10</v>
      </c>
      <c r="C604" s="219" t="str">
        <f>C600</f>
        <v xml:space="preserve">    Over 2 Mcf</v>
      </c>
      <c r="D604" s="782">
        <f>Input!D28</f>
        <v>0.35</v>
      </c>
      <c r="E604" s="431">
        <f t="shared" ref="E604:P604" si="204">ROUND(E600*$D$604,2)</f>
        <v>31.43</v>
      </c>
      <c r="F604" s="431">
        <f t="shared" si="204"/>
        <v>24.99</v>
      </c>
      <c r="G604" s="431">
        <f t="shared" si="204"/>
        <v>15.19</v>
      </c>
      <c r="H604" s="431">
        <f t="shared" si="204"/>
        <v>35.880000000000003</v>
      </c>
      <c r="I604" s="431">
        <f t="shared" si="204"/>
        <v>22.89</v>
      </c>
      <c r="J604" s="431">
        <f t="shared" si="204"/>
        <v>8.44</v>
      </c>
      <c r="K604" s="431">
        <f t="shared" si="204"/>
        <v>8.4700000000000006</v>
      </c>
      <c r="L604" s="431">
        <f t="shared" si="204"/>
        <v>3.43</v>
      </c>
      <c r="M604" s="431">
        <f t="shared" si="204"/>
        <v>8.4700000000000006</v>
      </c>
      <c r="N604" s="431">
        <f t="shared" si="204"/>
        <v>25.87</v>
      </c>
      <c r="O604" s="431">
        <f t="shared" si="204"/>
        <v>36.229999999999997</v>
      </c>
      <c r="P604" s="431">
        <f t="shared" si="204"/>
        <v>20.13</v>
      </c>
      <c r="Q604" s="431">
        <f>SUM(E604:P604)</f>
        <v>241.42</v>
      </c>
    </row>
    <row r="605" spans="1:17" x14ac:dyDescent="0.2">
      <c r="D605" s="286"/>
      <c r="E605" s="427">
        <f t="shared" ref="E605:O605" si="205">SUM(E603:E604)</f>
        <v>31.43</v>
      </c>
      <c r="F605" s="427">
        <f t="shared" si="205"/>
        <v>24.99</v>
      </c>
      <c r="G605" s="427">
        <f t="shared" si="205"/>
        <v>15.19</v>
      </c>
      <c r="H605" s="427">
        <f t="shared" si="205"/>
        <v>35.880000000000003</v>
      </c>
      <c r="I605" s="427">
        <f t="shared" si="205"/>
        <v>22.89</v>
      </c>
      <c r="J605" s="427">
        <f t="shared" si="205"/>
        <v>8.44</v>
      </c>
      <c r="K605" s="427">
        <f t="shared" si="205"/>
        <v>8.4700000000000006</v>
      </c>
      <c r="L605" s="427">
        <f t="shared" si="205"/>
        <v>3.43</v>
      </c>
      <c r="M605" s="427">
        <f t="shared" si="205"/>
        <v>8.4700000000000006</v>
      </c>
      <c r="N605" s="427">
        <f t="shared" si="205"/>
        <v>25.87</v>
      </c>
      <c r="O605" s="427">
        <f t="shared" si="205"/>
        <v>36.229999999999997</v>
      </c>
      <c r="P605" s="427">
        <f>SUM(P603:P604)</f>
        <v>20.13</v>
      </c>
      <c r="Q605" s="427">
        <f>SUM(E605:P605)</f>
        <v>241.42</v>
      </c>
    </row>
    <row r="606" spans="1:17" x14ac:dyDescent="0.2">
      <c r="D606" s="286"/>
    </row>
    <row r="607" spans="1:17" x14ac:dyDescent="0.2">
      <c r="A607" s="222">
        <f>A604+1</f>
        <v>11</v>
      </c>
      <c r="C607" s="219" t="s">
        <v>204</v>
      </c>
      <c r="D607" s="286"/>
      <c r="E607" s="427">
        <f t="shared" ref="E607:O607" si="206">E596+E605</f>
        <v>32.630000000000003</v>
      </c>
      <c r="F607" s="427">
        <f t="shared" si="206"/>
        <v>26.189999999999998</v>
      </c>
      <c r="G607" s="427">
        <f t="shared" si="206"/>
        <v>16.39</v>
      </c>
      <c r="H607" s="427">
        <f t="shared" si="206"/>
        <v>37.080000000000005</v>
      </c>
      <c r="I607" s="427">
        <f t="shared" si="206"/>
        <v>24.09</v>
      </c>
      <c r="J607" s="427">
        <f t="shared" si="206"/>
        <v>9.6399999999999988</v>
      </c>
      <c r="K607" s="427">
        <f t="shared" si="206"/>
        <v>9.67</v>
      </c>
      <c r="L607" s="427">
        <f t="shared" si="206"/>
        <v>4.63</v>
      </c>
      <c r="M607" s="427">
        <f t="shared" si="206"/>
        <v>9.67</v>
      </c>
      <c r="N607" s="427">
        <f t="shared" si="206"/>
        <v>27.07</v>
      </c>
      <c r="O607" s="427">
        <f t="shared" si="206"/>
        <v>37.43</v>
      </c>
      <c r="P607" s="427">
        <f>P596+P605</f>
        <v>21.33</v>
      </c>
      <c r="Q607" s="427">
        <f>SUM(E607:P607)</f>
        <v>255.82</v>
      </c>
    </row>
    <row r="608" spans="1:17" x14ac:dyDescent="0.2">
      <c r="D608" s="286"/>
      <c r="E608" s="459"/>
      <c r="F608" s="459"/>
      <c r="G608" s="459"/>
      <c r="H608" s="459"/>
      <c r="I608" s="459"/>
      <c r="J608" s="459"/>
      <c r="K608" s="459"/>
      <c r="L608" s="459"/>
      <c r="M608" s="459"/>
      <c r="N608" s="459"/>
      <c r="O608" s="459"/>
      <c r="P608" s="459"/>
      <c r="Q608" s="459"/>
    </row>
    <row r="609" spans="1:17" x14ac:dyDescent="0.2">
      <c r="A609" s="222">
        <f>A607+1</f>
        <v>12</v>
      </c>
      <c r="C609" s="219" t="s">
        <v>151</v>
      </c>
      <c r="D609" s="783">
        <v>0</v>
      </c>
      <c r="E609" s="510">
        <v>0</v>
      </c>
      <c r="F609" s="510">
        <v>0</v>
      </c>
      <c r="G609" s="510">
        <v>0</v>
      </c>
      <c r="H609" s="510">
        <v>0</v>
      </c>
      <c r="I609" s="510">
        <v>0</v>
      </c>
      <c r="J609" s="510">
        <v>0</v>
      </c>
      <c r="K609" s="510">
        <v>0</v>
      </c>
      <c r="L609" s="510">
        <v>0</v>
      </c>
      <c r="M609" s="510">
        <v>0</v>
      </c>
      <c r="N609" s="510">
        <v>0</v>
      </c>
      <c r="O609" s="510">
        <v>0</v>
      </c>
      <c r="P609" s="510">
        <v>0</v>
      </c>
      <c r="Q609" s="427">
        <f>SUM(E609:P609)</f>
        <v>0</v>
      </c>
    </row>
    <row r="610" spans="1:17" x14ac:dyDescent="0.2">
      <c r="E610" s="459"/>
      <c r="F610" s="459"/>
      <c r="G610" s="459"/>
      <c r="H610" s="459"/>
      <c r="I610" s="459"/>
      <c r="J610" s="459"/>
      <c r="K610" s="459"/>
      <c r="L610" s="459"/>
      <c r="M610" s="459"/>
      <c r="N610" s="459"/>
      <c r="O610" s="459"/>
      <c r="P610" s="459"/>
      <c r="Q610" s="459"/>
    </row>
    <row r="611" spans="1:17" ht="10.8" thickBot="1" x14ac:dyDescent="0.25">
      <c r="A611" s="488">
        <f>A609+1</f>
        <v>13</v>
      </c>
      <c r="B611" s="489"/>
      <c r="C611" s="489" t="s">
        <v>205</v>
      </c>
      <c r="D611" s="490"/>
      <c r="E611" s="492">
        <f t="shared" ref="E611:O611" si="207">E607+E609</f>
        <v>32.630000000000003</v>
      </c>
      <c r="F611" s="492">
        <f t="shared" si="207"/>
        <v>26.189999999999998</v>
      </c>
      <c r="G611" s="492">
        <f t="shared" si="207"/>
        <v>16.39</v>
      </c>
      <c r="H611" s="492">
        <f t="shared" si="207"/>
        <v>37.080000000000005</v>
      </c>
      <c r="I611" s="492">
        <f t="shared" si="207"/>
        <v>24.09</v>
      </c>
      <c r="J611" s="492">
        <f t="shared" si="207"/>
        <v>9.6399999999999988</v>
      </c>
      <c r="K611" s="492">
        <f t="shared" si="207"/>
        <v>9.67</v>
      </c>
      <c r="L611" s="492">
        <f t="shared" si="207"/>
        <v>4.63</v>
      </c>
      <c r="M611" s="492">
        <f t="shared" si="207"/>
        <v>9.67</v>
      </c>
      <c r="N611" s="492">
        <f t="shared" si="207"/>
        <v>27.07</v>
      </c>
      <c r="O611" s="492">
        <f t="shared" si="207"/>
        <v>37.43</v>
      </c>
      <c r="P611" s="492">
        <f>P607+P609</f>
        <v>21.33</v>
      </c>
      <c r="Q611" s="492">
        <f>SUM(E611:P611)</f>
        <v>255.82</v>
      </c>
    </row>
    <row r="612" spans="1:17" ht="10.8" thickTop="1" x14ac:dyDescent="0.2"/>
    <row r="614" spans="1:17" x14ac:dyDescent="0.2">
      <c r="A614" s="222">
        <f>A611+1</f>
        <v>14</v>
      </c>
      <c r="B614" s="219" t="str">
        <f>B150</f>
        <v>LG4</v>
      </c>
      <c r="C614" s="219" t="str">
        <f>C150</f>
        <v>LG&amp;E Residential</v>
      </c>
    </row>
    <row r="616" spans="1:17" x14ac:dyDescent="0.2">
      <c r="A616" s="222">
        <v>2</v>
      </c>
      <c r="C616" s="223" t="s">
        <v>109</v>
      </c>
    </row>
    <row r="618" spans="1:17" x14ac:dyDescent="0.2">
      <c r="A618" s="222">
        <v>3</v>
      </c>
      <c r="C618" s="219" t="s">
        <v>202</v>
      </c>
      <c r="E618" s="472">
        <f>B!D75</f>
        <v>1</v>
      </c>
      <c r="F618" s="472">
        <f>B!E75</f>
        <v>1</v>
      </c>
      <c r="G618" s="472">
        <f>B!F75</f>
        <v>1</v>
      </c>
      <c r="H618" s="472">
        <f>B!G75</f>
        <v>1</v>
      </c>
      <c r="I618" s="472">
        <f>B!H75</f>
        <v>1</v>
      </c>
      <c r="J618" s="472">
        <f>B!I75</f>
        <v>1</v>
      </c>
      <c r="K618" s="472">
        <f>B!J75</f>
        <v>1</v>
      </c>
      <c r="L618" s="472">
        <f>B!K75</f>
        <v>1</v>
      </c>
      <c r="M618" s="472">
        <f>B!L75</f>
        <v>1</v>
      </c>
      <c r="N618" s="472">
        <f>B!M75</f>
        <v>1</v>
      </c>
      <c r="O618" s="472">
        <f>B!N75</f>
        <v>1</v>
      </c>
      <c r="P618" s="472">
        <f>B!O75</f>
        <v>1</v>
      </c>
      <c r="Q618" s="505">
        <f>SUM(E618:P618)</f>
        <v>12</v>
      </c>
    </row>
    <row r="619" spans="1:17" x14ac:dyDescent="0.2">
      <c r="A619" s="222">
        <v>4</v>
      </c>
      <c r="C619" s="219" t="s">
        <v>210</v>
      </c>
      <c r="D619" s="781">
        <f>Input!H29</f>
        <v>0</v>
      </c>
      <c r="E619" s="427">
        <f t="shared" ref="E619:P619" si="208">ROUND(E618*$D$495,2)</f>
        <v>0</v>
      </c>
      <c r="F619" s="427">
        <f t="shared" si="208"/>
        <v>0</v>
      </c>
      <c r="G619" s="427">
        <f t="shared" si="208"/>
        <v>0</v>
      </c>
      <c r="H619" s="427">
        <f t="shared" si="208"/>
        <v>0</v>
      </c>
      <c r="I619" s="427">
        <f t="shared" si="208"/>
        <v>0</v>
      </c>
      <c r="J619" s="427">
        <f t="shared" si="208"/>
        <v>0</v>
      </c>
      <c r="K619" s="427">
        <f t="shared" si="208"/>
        <v>0</v>
      </c>
      <c r="L619" s="427">
        <f t="shared" si="208"/>
        <v>0</v>
      </c>
      <c r="M619" s="427">
        <f t="shared" si="208"/>
        <v>0</v>
      </c>
      <c r="N619" s="427">
        <f t="shared" si="208"/>
        <v>0</v>
      </c>
      <c r="O619" s="427">
        <f t="shared" si="208"/>
        <v>0</v>
      </c>
      <c r="P619" s="427">
        <f t="shared" si="208"/>
        <v>0</v>
      </c>
      <c r="Q619" s="427">
        <f>SUM(E619:P619)</f>
        <v>0</v>
      </c>
    </row>
    <row r="620" spans="1:17" x14ac:dyDescent="0.2">
      <c r="D620" s="286"/>
      <c r="E620" s="475"/>
      <c r="F620" s="288"/>
      <c r="G620" s="469"/>
      <c r="H620" s="288"/>
      <c r="I620" s="293"/>
      <c r="J620" s="507"/>
      <c r="K620" s="288"/>
      <c r="L620" s="288"/>
    </row>
    <row r="621" spans="1:17" x14ac:dyDescent="0.2">
      <c r="A621" s="222">
        <v>5</v>
      </c>
      <c r="C621" s="240" t="s">
        <v>209</v>
      </c>
      <c r="D621" s="512"/>
      <c r="E621" s="476">
        <f>'C'!D76</f>
        <v>49.5</v>
      </c>
      <c r="F621" s="476">
        <f>'C'!E76</f>
        <v>58.7</v>
      </c>
      <c r="G621" s="476">
        <f>'C'!F76</f>
        <v>42</v>
      </c>
      <c r="H621" s="476">
        <f>'C'!G76</f>
        <v>20.7</v>
      </c>
      <c r="I621" s="476">
        <f>'C'!H76</f>
        <v>11.2</v>
      </c>
      <c r="J621" s="476">
        <f>'C'!I76</f>
        <v>4</v>
      </c>
      <c r="K621" s="476">
        <f>'C'!J76</f>
        <v>2.6</v>
      </c>
      <c r="L621" s="476">
        <f>'C'!K76</f>
        <v>2.8</v>
      </c>
      <c r="M621" s="476">
        <f>'C'!L76</f>
        <v>3</v>
      </c>
      <c r="N621" s="476">
        <f>'C'!M76</f>
        <v>3.9</v>
      </c>
      <c r="O621" s="476">
        <f>'C'!N76</f>
        <v>18.899999999999999</v>
      </c>
      <c r="P621" s="476">
        <f>'C'!O76</f>
        <v>40.299999999999997</v>
      </c>
      <c r="Q621" s="506">
        <f>SUM(E621:P621)</f>
        <v>257.59999999999997</v>
      </c>
    </row>
    <row r="622" spans="1:17" x14ac:dyDescent="0.2">
      <c r="A622" s="222">
        <v>6</v>
      </c>
      <c r="C622" s="219" t="s">
        <v>212</v>
      </c>
      <c r="D622" s="782">
        <f>Input!C29</f>
        <v>0.4</v>
      </c>
      <c r="E622" s="427">
        <f t="shared" ref="E622:P622" si="209">ROUND(E621*$D$622,2)</f>
        <v>19.8</v>
      </c>
      <c r="F622" s="427">
        <f t="shared" si="209"/>
        <v>23.48</v>
      </c>
      <c r="G622" s="427">
        <f t="shared" si="209"/>
        <v>16.8</v>
      </c>
      <c r="H622" s="427">
        <f t="shared" si="209"/>
        <v>8.2799999999999994</v>
      </c>
      <c r="I622" s="427">
        <f t="shared" si="209"/>
        <v>4.4800000000000004</v>
      </c>
      <c r="J622" s="427">
        <f t="shared" si="209"/>
        <v>1.6</v>
      </c>
      <c r="K622" s="427">
        <f t="shared" si="209"/>
        <v>1.04</v>
      </c>
      <c r="L622" s="427">
        <f t="shared" si="209"/>
        <v>1.1200000000000001</v>
      </c>
      <c r="M622" s="427">
        <f t="shared" si="209"/>
        <v>1.2</v>
      </c>
      <c r="N622" s="427">
        <f t="shared" si="209"/>
        <v>1.56</v>
      </c>
      <c r="O622" s="427">
        <f t="shared" si="209"/>
        <v>7.56</v>
      </c>
      <c r="P622" s="427">
        <f t="shared" si="209"/>
        <v>16.12</v>
      </c>
      <c r="Q622" s="427">
        <f>SUM(E622:P622)</f>
        <v>103.04000000000002</v>
      </c>
    </row>
    <row r="623" spans="1:17" x14ac:dyDescent="0.2">
      <c r="D623" s="286"/>
      <c r="E623" s="459"/>
      <c r="F623" s="466"/>
      <c r="G623" s="466"/>
      <c r="H623" s="466"/>
      <c r="I623" s="466"/>
      <c r="J623" s="466"/>
      <c r="K623" s="466"/>
      <c r="L623" s="466"/>
      <c r="M623" s="459"/>
      <c r="N623" s="459"/>
      <c r="O623" s="459"/>
      <c r="P623" s="459"/>
      <c r="Q623" s="484"/>
    </row>
    <row r="624" spans="1:17" x14ac:dyDescent="0.2">
      <c r="A624" s="222">
        <v>7</v>
      </c>
      <c r="C624" s="219" t="s">
        <v>204</v>
      </c>
      <c r="D624" s="286"/>
      <c r="E624" s="427">
        <f t="shared" ref="E624:O624" si="210">E619+E622</f>
        <v>19.8</v>
      </c>
      <c r="F624" s="427">
        <f t="shared" si="210"/>
        <v>23.48</v>
      </c>
      <c r="G624" s="427">
        <f t="shared" si="210"/>
        <v>16.8</v>
      </c>
      <c r="H624" s="427">
        <f t="shared" si="210"/>
        <v>8.2799999999999994</v>
      </c>
      <c r="I624" s="427">
        <f t="shared" si="210"/>
        <v>4.4800000000000004</v>
      </c>
      <c r="J624" s="427">
        <f t="shared" si="210"/>
        <v>1.6</v>
      </c>
      <c r="K624" s="427">
        <f t="shared" si="210"/>
        <v>1.04</v>
      </c>
      <c r="L624" s="427">
        <f t="shared" si="210"/>
        <v>1.1200000000000001</v>
      </c>
      <c r="M624" s="427">
        <f t="shared" si="210"/>
        <v>1.2</v>
      </c>
      <c r="N624" s="427">
        <f t="shared" si="210"/>
        <v>1.56</v>
      </c>
      <c r="O624" s="427">
        <f t="shared" si="210"/>
        <v>7.56</v>
      </c>
      <c r="P624" s="427">
        <f>P619+P622</f>
        <v>16.12</v>
      </c>
      <c r="Q624" s="427">
        <f>SUM(E624:P624)</f>
        <v>103.04000000000002</v>
      </c>
    </row>
    <row r="625" spans="1:17" x14ac:dyDescent="0.2">
      <c r="D625" s="286"/>
      <c r="E625" s="459"/>
      <c r="F625" s="459"/>
      <c r="G625" s="459"/>
      <c r="H625" s="459"/>
      <c r="I625" s="459"/>
      <c r="J625" s="459"/>
      <c r="K625" s="459"/>
      <c r="L625" s="459"/>
      <c r="M625" s="459"/>
      <c r="N625" s="459"/>
      <c r="O625" s="459"/>
      <c r="P625" s="459"/>
      <c r="Q625" s="459"/>
    </row>
    <row r="626" spans="1:17" x14ac:dyDescent="0.2">
      <c r="A626" s="222">
        <v>8</v>
      </c>
      <c r="C626" s="222" t="s">
        <v>151</v>
      </c>
      <c r="D626" s="783">
        <v>0</v>
      </c>
      <c r="E626" s="510">
        <v>0</v>
      </c>
      <c r="F626" s="510">
        <v>0</v>
      </c>
      <c r="G626" s="510">
        <v>0</v>
      </c>
      <c r="H626" s="510">
        <v>0</v>
      </c>
      <c r="I626" s="510">
        <v>0</v>
      </c>
      <c r="J626" s="510">
        <v>0</v>
      </c>
      <c r="K626" s="510">
        <v>0</v>
      </c>
      <c r="L626" s="510">
        <v>0</v>
      </c>
      <c r="M626" s="510">
        <v>0</v>
      </c>
      <c r="N626" s="510">
        <v>0</v>
      </c>
      <c r="O626" s="510">
        <v>0</v>
      </c>
      <c r="P626" s="510">
        <v>0</v>
      </c>
      <c r="Q626" s="427">
        <f>SUM(E626:P626)</f>
        <v>0</v>
      </c>
    </row>
    <row r="627" spans="1:17" x14ac:dyDescent="0.2">
      <c r="E627" s="459"/>
      <c r="F627" s="459"/>
      <c r="G627" s="459"/>
      <c r="H627" s="459"/>
      <c r="I627" s="459"/>
      <c r="J627" s="459"/>
      <c r="K627" s="459"/>
      <c r="L627" s="459"/>
      <c r="M627" s="459"/>
      <c r="N627" s="459"/>
      <c r="O627" s="459"/>
      <c r="P627" s="459"/>
      <c r="Q627" s="459"/>
    </row>
    <row r="628" spans="1:17" ht="10.8" thickBot="1" x14ac:dyDescent="0.25">
      <c r="A628" s="488">
        <v>9</v>
      </c>
      <c r="B628" s="489"/>
      <c r="C628" s="489" t="s">
        <v>205</v>
      </c>
      <c r="D628" s="490"/>
      <c r="E628" s="492">
        <f t="shared" ref="E628:O628" si="211">E624+E626</f>
        <v>19.8</v>
      </c>
      <c r="F628" s="492">
        <f t="shared" si="211"/>
        <v>23.48</v>
      </c>
      <c r="G628" s="492">
        <f t="shared" si="211"/>
        <v>16.8</v>
      </c>
      <c r="H628" s="492">
        <f t="shared" si="211"/>
        <v>8.2799999999999994</v>
      </c>
      <c r="I628" s="492">
        <f t="shared" si="211"/>
        <v>4.4800000000000004</v>
      </c>
      <c r="J628" s="492">
        <f t="shared" si="211"/>
        <v>1.6</v>
      </c>
      <c r="K628" s="492">
        <f t="shared" si="211"/>
        <v>1.04</v>
      </c>
      <c r="L628" s="492">
        <f t="shared" si="211"/>
        <v>1.1200000000000001</v>
      </c>
      <c r="M628" s="492">
        <f t="shared" si="211"/>
        <v>1.2</v>
      </c>
      <c r="N628" s="492">
        <f t="shared" si="211"/>
        <v>1.56</v>
      </c>
      <c r="O628" s="492">
        <f t="shared" si="211"/>
        <v>7.56</v>
      </c>
      <c r="P628" s="492">
        <f>P624+P626</f>
        <v>16.12</v>
      </c>
      <c r="Q628" s="492">
        <f>SUM(E628:P628)</f>
        <v>103.04000000000002</v>
      </c>
    </row>
    <row r="629" spans="1:17" ht="10.8" thickTop="1" x14ac:dyDescent="0.2"/>
    <row r="631" spans="1:17" x14ac:dyDescent="0.2">
      <c r="A631" s="222" t="str">
        <f>$A$270</f>
        <v>[1] Reflects Normalized Volumes.</v>
      </c>
    </row>
    <row r="632" spans="1:17" x14ac:dyDescent="0.2">
      <c r="A632" s="993" t="str">
        <f>CONAME</f>
        <v>Columbia Gas of Kentucky, Inc.</v>
      </c>
      <c r="B632" s="993"/>
      <c r="C632" s="993"/>
      <c r="D632" s="993"/>
      <c r="E632" s="993"/>
      <c r="F632" s="993"/>
      <c r="G632" s="993"/>
      <c r="H632" s="993"/>
      <c r="I632" s="993"/>
      <c r="J632" s="993"/>
      <c r="K632" s="993"/>
      <c r="L632" s="993"/>
      <c r="M632" s="993"/>
      <c r="N632" s="993"/>
      <c r="O632" s="993"/>
      <c r="P632" s="993"/>
      <c r="Q632" s="993"/>
    </row>
    <row r="633" spans="1:17" x14ac:dyDescent="0.2">
      <c r="A633" s="981" t="str">
        <f>case</f>
        <v>Case No. 2016-00162</v>
      </c>
      <c r="B633" s="981"/>
      <c r="C633" s="981"/>
      <c r="D633" s="981"/>
      <c r="E633" s="981"/>
      <c r="F633" s="981"/>
      <c r="G633" s="981"/>
      <c r="H633" s="981"/>
      <c r="I633" s="981"/>
      <c r="J633" s="981"/>
      <c r="K633" s="981"/>
      <c r="L633" s="981"/>
      <c r="M633" s="981"/>
      <c r="N633" s="981"/>
      <c r="O633" s="981"/>
      <c r="P633" s="981"/>
      <c r="Q633" s="981"/>
    </row>
    <row r="634" spans="1:17" x14ac:dyDescent="0.2">
      <c r="A634" s="994" t="s">
        <v>494</v>
      </c>
      <c r="B634" s="994"/>
      <c r="C634" s="994"/>
      <c r="D634" s="994"/>
      <c r="E634" s="994"/>
      <c r="F634" s="994"/>
      <c r="G634" s="994"/>
      <c r="H634" s="994"/>
      <c r="I634" s="994"/>
      <c r="J634" s="994"/>
      <c r="K634" s="994"/>
      <c r="L634" s="994"/>
      <c r="M634" s="994"/>
      <c r="N634" s="994"/>
      <c r="O634" s="994"/>
      <c r="P634" s="994"/>
      <c r="Q634" s="994"/>
    </row>
    <row r="635" spans="1:17" x14ac:dyDescent="0.2">
      <c r="A635" s="993" t="str">
        <f>TYDESC</f>
        <v>For the 12 Months Ended December 31, 2017</v>
      </c>
      <c r="B635" s="993"/>
      <c r="C635" s="993"/>
      <c r="D635" s="993"/>
      <c r="E635" s="993"/>
      <c r="F635" s="993"/>
      <c r="G635" s="993"/>
      <c r="H635" s="993"/>
      <c r="I635" s="993"/>
      <c r="J635" s="993"/>
      <c r="K635" s="993"/>
      <c r="L635" s="993"/>
      <c r="M635" s="993"/>
      <c r="N635" s="993"/>
      <c r="O635" s="993"/>
      <c r="P635" s="993"/>
      <c r="Q635" s="993"/>
    </row>
    <row r="636" spans="1:17" x14ac:dyDescent="0.2">
      <c r="A636" s="991" t="s">
        <v>39</v>
      </c>
      <c r="B636" s="991"/>
      <c r="C636" s="991"/>
      <c r="D636" s="991"/>
      <c r="E636" s="991"/>
      <c r="F636" s="991"/>
      <c r="G636" s="991"/>
      <c r="H636" s="991"/>
      <c r="I636" s="991"/>
      <c r="J636" s="991"/>
      <c r="K636" s="991"/>
      <c r="L636" s="991"/>
      <c r="M636" s="991"/>
      <c r="N636" s="991"/>
      <c r="O636" s="991"/>
      <c r="P636" s="991"/>
      <c r="Q636" s="991"/>
    </row>
    <row r="637" spans="1:17" x14ac:dyDescent="0.2">
      <c r="A637" s="262" t="str">
        <f>$A$52</f>
        <v>Data: __ Base Period _X_ Forecasted Period</v>
      </c>
    </row>
    <row r="638" spans="1:17" x14ac:dyDescent="0.2">
      <c r="A638" s="262" t="str">
        <f>$A$53</f>
        <v>Type of Filing: X Original _ Update _ Revised</v>
      </c>
      <c r="Q638" s="413" t="str">
        <f>$Q$53</f>
        <v>Schedule M-2.2</v>
      </c>
    </row>
    <row r="639" spans="1:17" x14ac:dyDescent="0.2">
      <c r="A639" s="262" t="str">
        <f>$A$54</f>
        <v>Work Paper Reference No(s):</v>
      </c>
      <c r="Q639" s="413" t="s">
        <v>503</v>
      </c>
    </row>
    <row r="640" spans="1:17" x14ac:dyDescent="0.2">
      <c r="A640" s="414" t="str">
        <f>$A$55</f>
        <v>12 Months Forecasted</v>
      </c>
      <c r="Q640" s="413" t="str">
        <f>Witness</f>
        <v>Witness:  M. J. Bell</v>
      </c>
    </row>
    <row r="641" spans="1:17" x14ac:dyDescent="0.2">
      <c r="A641" s="992" t="s">
        <v>194</v>
      </c>
      <c r="B641" s="992"/>
      <c r="C641" s="992"/>
      <c r="D641" s="992"/>
      <c r="E641" s="992"/>
      <c r="F641" s="992"/>
      <c r="G641" s="992"/>
      <c r="H641" s="992"/>
      <c r="I641" s="992"/>
      <c r="J641" s="992"/>
      <c r="K641" s="992"/>
      <c r="L641" s="992"/>
      <c r="M641" s="992"/>
      <c r="N641" s="992"/>
      <c r="O641" s="992"/>
      <c r="P641" s="992"/>
      <c r="Q641" s="992"/>
    </row>
    <row r="642" spans="1:17" x14ac:dyDescent="0.2">
      <c r="A642" s="433"/>
      <c r="B642" s="301"/>
      <c r="C642" s="301"/>
      <c r="D642" s="300"/>
      <c r="E642" s="301"/>
      <c r="F642" s="415"/>
      <c r="G642" s="435"/>
      <c r="H642" s="415"/>
      <c r="I642" s="436"/>
      <c r="J642" s="415"/>
      <c r="K642" s="415"/>
      <c r="L642" s="415"/>
      <c r="M642" s="415"/>
      <c r="N642" s="415"/>
      <c r="O642" s="415"/>
      <c r="P642" s="415"/>
      <c r="Q642" s="301"/>
    </row>
    <row r="643" spans="1:17" x14ac:dyDescent="0.2">
      <c r="A643" s="410" t="s">
        <v>1</v>
      </c>
      <c r="B643" s="224" t="s">
        <v>0</v>
      </c>
      <c r="C643" s="224" t="s">
        <v>41</v>
      </c>
      <c r="D643" s="416" t="s">
        <v>47</v>
      </c>
      <c r="E643" s="224"/>
      <c r="F643" s="417"/>
      <c r="G643" s="418"/>
      <c r="H643" s="417"/>
      <c r="I643" s="419"/>
      <c r="J643" s="417"/>
      <c r="K643" s="417"/>
      <c r="L643" s="417"/>
      <c r="M643" s="417"/>
      <c r="N643" s="417"/>
      <c r="O643" s="417"/>
      <c r="P643" s="417"/>
      <c r="Q643" s="229"/>
    </row>
    <row r="644" spans="1:17" x14ac:dyDescent="0.2">
      <c r="A644" s="281" t="s">
        <v>3</v>
      </c>
      <c r="B644" s="226" t="s">
        <v>40</v>
      </c>
      <c r="C644" s="226" t="s">
        <v>4</v>
      </c>
      <c r="D644" s="420" t="s">
        <v>48</v>
      </c>
      <c r="E644" s="421" t="str">
        <f>B!$D$11</f>
        <v>Jan-17</v>
      </c>
      <c r="F644" s="421" t="str">
        <f>B!$E$11</f>
        <v>Feb-17</v>
      </c>
      <c r="G644" s="421" t="str">
        <f>B!$F$11</f>
        <v>Mar-17</v>
      </c>
      <c r="H644" s="421" t="str">
        <f>B!$G$11</f>
        <v>Apr-17</v>
      </c>
      <c r="I644" s="421" t="str">
        <f>B!$H$11</f>
        <v>May-17</v>
      </c>
      <c r="J644" s="421" t="str">
        <f>B!$I$11</f>
        <v>Jun-17</v>
      </c>
      <c r="K644" s="421" t="str">
        <f>B!$J$11</f>
        <v>Jul-17</v>
      </c>
      <c r="L644" s="421" t="str">
        <f>B!$K$11</f>
        <v>Aug-17</v>
      </c>
      <c r="M644" s="421" t="str">
        <f>B!$L$11</f>
        <v>Sep-17</v>
      </c>
      <c r="N644" s="421" t="str">
        <f>B!$M$11</f>
        <v>Oct-17</v>
      </c>
      <c r="O644" s="421" t="str">
        <f>B!$N$11</f>
        <v>Nov-17</v>
      </c>
      <c r="P644" s="421" t="str">
        <f>B!$O$11</f>
        <v>Dec-17</v>
      </c>
      <c r="Q644" s="422" t="s">
        <v>9</v>
      </c>
    </row>
    <row r="645" spans="1:17" x14ac:dyDescent="0.2">
      <c r="A645" s="410"/>
      <c r="B645" s="229" t="s">
        <v>42</v>
      </c>
      <c r="C645" s="229" t="s">
        <v>43</v>
      </c>
      <c r="D645" s="423" t="s">
        <v>45</v>
      </c>
      <c r="E645" s="424" t="s">
        <v>46</v>
      </c>
      <c r="F645" s="424" t="s">
        <v>49</v>
      </c>
      <c r="G645" s="424" t="s">
        <v>50</v>
      </c>
      <c r="H645" s="424" t="s">
        <v>51</v>
      </c>
      <c r="I645" s="424" t="s">
        <v>52</v>
      </c>
      <c r="J645" s="424" t="s">
        <v>53</v>
      </c>
      <c r="K645" s="425" t="s">
        <v>54</v>
      </c>
      <c r="L645" s="425" t="s">
        <v>55</v>
      </c>
      <c r="M645" s="425" t="s">
        <v>56</v>
      </c>
      <c r="N645" s="425" t="s">
        <v>57</v>
      </c>
      <c r="O645" s="425" t="s">
        <v>58</v>
      </c>
      <c r="P645" s="425" t="s">
        <v>59</v>
      </c>
      <c r="Q645" s="425" t="s">
        <v>203</v>
      </c>
    </row>
    <row r="646" spans="1:17" x14ac:dyDescent="0.2">
      <c r="E646" s="229"/>
      <c r="F646" s="425"/>
      <c r="G646" s="437"/>
      <c r="H646" s="425"/>
      <c r="I646" s="424"/>
      <c r="J646" s="425"/>
      <c r="K646" s="425"/>
      <c r="L646" s="425"/>
      <c r="M646" s="425"/>
      <c r="N646" s="425"/>
      <c r="O646" s="425"/>
      <c r="P646" s="425"/>
      <c r="Q646" s="229"/>
    </row>
    <row r="647" spans="1:17" x14ac:dyDescent="0.2">
      <c r="A647" s="222">
        <v>1</v>
      </c>
      <c r="B647" s="219" t="str">
        <f>B157</f>
        <v>GSO</v>
      </c>
      <c r="C647" s="219" t="str">
        <f>C157</f>
        <v>General Service - Commercial</v>
      </c>
    </row>
    <row r="649" spans="1:17" x14ac:dyDescent="0.2">
      <c r="A649" s="222">
        <f>A647+1</f>
        <v>2</v>
      </c>
      <c r="C649" s="223" t="s">
        <v>111</v>
      </c>
    </row>
    <row r="650" spans="1:17" x14ac:dyDescent="0.2">
      <c r="C650" s="223"/>
    </row>
    <row r="651" spans="1:17" x14ac:dyDescent="0.2">
      <c r="A651" s="222">
        <f>A649+1</f>
        <v>3</v>
      </c>
      <c r="C651" s="219" t="s">
        <v>202</v>
      </c>
      <c r="E651" s="472">
        <f>B!D81</f>
        <v>10207</v>
      </c>
      <c r="F651" s="472">
        <f>B!E81</f>
        <v>10271</v>
      </c>
      <c r="G651" s="472">
        <f>B!F81</f>
        <v>10035</v>
      </c>
      <c r="H651" s="472">
        <f>B!G81</f>
        <v>10003</v>
      </c>
      <c r="I651" s="472">
        <f>B!H81</f>
        <v>9882</v>
      </c>
      <c r="J651" s="472">
        <f>B!I81</f>
        <v>9780</v>
      </c>
      <c r="K651" s="472">
        <f>B!J81</f>
        <v>9783</v>
      </c>
      <c r="L651" s="472">
        <f>B!K81</f>
        <v>9770</v>
      </c>
      <c r="M651" s="472">
        <f>B!L81</f>
        <v>9739</v>
      </c>
      <c r="N651" s="472">
        <f>B!M81</f>
        <v>9772</v>
      </c>
      <c r="O651" s="472">
        <f>B!N81</f>
        <v>9915</v>
      </c>
      <c r="P651" s="472">
        <f>B!O81</f>
        <v>10076</v>
      </c>
      <c r="Q651" s="473">
        <f>SUM(E651:P651)</f>
        <v>119233</v>
      </c>
    </row>
    <row r="652" spans="1:17" x14ac:dyDescent="0.2">
      <c r="A652" s="222">
        <f>A651+1</f>
        <v>4</v>
      </c>
      <c r="C652" s="219" t="s">
        <v>210</v>
      </c>
      <c r="D652" s="781">
        <f>Input!H30</f>
        <v>37.5</v>
      </c>
      <c r="E652" s="427">
        <f t="shared" ref="E652:P652" si="212">ROUND(E651*$D$652,2)</f>
        <v>382762.5</v>
      </c>
      <c r="F652" s="427">
        <f t="shared" si="212"/>
        <v>385162.5</v>
      </c>
      <c r="G652" s="427">
        <f t="shared" si="212"/>
        <v>376312.5</v>
      </c>
      <c r="H652" s="427">
        <f t="shared" si="212"/>
        <v>375112.5</v>
      </c>
      <c r="I652" s="427">
        <f t="shared" si="212"/>
        <v>370575</v>
      </c>
      <c r="J652" s="427">
        <f t="shared" si="212"/>
        <v>366750</v>
      </c>
      <c r="K652" s="427">
        <f t="shared" si="212"/>
        <v>366862.5</v>
      </c>
      <c r="L652" s="427">
        <f t="shared" si="212"/>
        <v>366375</v>
      </c>
      <c r="M652" s="427">
        <f t="shared" si="212"/>
        <v>365212.5</v>
      </c>
      <c r="N652" s="427">
        <f t="shared" si="212"/>
        <v>366450</v>
      </c>
      <c r="O652" s="427">
        <f t="shared" si="212"/>
        <v>371812.5</v>
      </c>
      <c r="P652" s="427">
        <f t="shared" si="212"/>
        <v>377850</v>
      </c>
      <c r="Q652" s="427">
        <f>SUM(E652:P652)</f>
        <v>4471237.5</v>
      </c>
    </row>
    <row r="653" spans="1:17" x14ac:dyDescent="0.2">
      <c r="A653" s="222">
        <f>A652+1</f>
        <v>5</v>
      </c>
      <c r="C653" s="219" t="s">
        <v>211</v>
      </c>
      <c r="D653" s="781">
        <f>Input!J30</f>
        <v>8.02</v>
      </c>
      <c r="E653" s="427">
        <f t="shared" ref="E653:P653" si="213">ROUND(E651*$D$653,2)</f>
        <v>81860.14</v>
      </c>
      <c r="F653" s="427">
        <f t="shared" si="213"/>
        <v>82373.42</v>
      </c>
      <c r="G653" s="427">
        <f t="shared" si="213"/>
        <v>80480.7</v>
      </c>
      <c r="H653" s="427">
        <f t="shared" si="213"/>
        <v>80224.06</v>
      </c>
      <c r="I653" s="427">
        <f t="shared" si="213"/>
        <v>79253.64</v>
      </c>
      <c r="J653" s="427">
        <f t="shared" si="213"/>
        <v>78435.600000000006</v>
      </c>
      <c r="K653" s="427">
        <f t="shared" si="213"/>
        <v>78459.66</v>
      </c>
      <c r="L653" s="427">
        <f t="shared" si="213"/>
        <v>78355.399999999994</v>
      </c>
      <c r="M653" s="427">
        <f t="shared" si="213"/>
        <v>78106.78</v>
      </c>
      <c r="N653" s="427">
        <f t="shared" si="213"/>
        <v>78371.44</v>
      </c>
      <c r="O653" s="427">
        <f t="shared" si="213"/>
        <v>79518.3</v>
      </c>
      <c r="P653" s="427">
        <f t="shared" si="213"/>
        <v>80809.52</v>
      </c>
      <c r="Q653" s="427">
        <f>SUM(E653:P653)</f>
        <v>956248.66000000015</v>
      </c>
    </row>
    <row r="654" spans="1:17" x14ac:dyDescent="0.2">
      <c r="D654" s="731"/>
      <c r="E654" s="222"/>
      <c r="F654" s="288"/>
      <c r="G654" s="469"/>
      <c r="H654" s="288"/>
      <c r="I654" s="293"/>
      <c r="J654" s="288"/>
      <c r="K654" s="288"/>
    </row>
    <row r="655" spans="1:17" x14ac:dyDescent="0.2">
      <c r="A655" s="222">
        <f>A653+1</f>
        <v>6</v>
      </c>
      <c r="C655" s="219" t="s">
        <v>209</v>
      </c>
      <c r="D655" s="731"/>
      <c r="E655" s="514"/>
      <c r="F655" s="288"/>
      <c r="G655" s="469"/>
      <c r="H655" s="288"/>
      <c r="I655" s="293"/>
      <c r="J655" s="288"/>
      <c r="K655" s="288"/>
    </row>
    <row r="656" spans="1:17" x14ac:dyDescent="0.2">
      <c r="A656" s="222">
        <f>A655+1</f>
        <v>7</v>
      </c>
      <c r="C656" s="219" t="str">
        <f>'C'!B80</f>
        <v xml:space="preserve">    First 50 Mcf</v>
      </c>
      <c r="D656" s="731"/>
      <c r="E656" s="476">
        <f>'C'!D92</f>
        <v>267674</v>
      </c>
      <c r="F656" s="476">
        <f>'C'!E92</f>
        <v>278751.2</v>
      </c>
      <c r="G656" s="476">
        <f>'C'!F92</f>
        <v>227896.5</v>
      </c>
      <c r="H656" s="476">
        <f>'C'!G92</f>
        <v>149381.79999999999</v>
      </c>
      <c r="I656" s="476">
        <f>'C'!H92</f>
        <v>76805.7</v>
      </c>
      <c r="J656" s="476">
        <f>'C'!I92</f>
        <v>48735.1</v>
      </c>
      <c r="K656" s="476">
        <f>'C'!J92</f>
        <v>38320.5</v>
      </c>
      <c r="L656" s="476">
        <f>'C'!K92</f>
        <v>36243</v>
      </c>
      <c r="M656" s="476">
        <f>'C'!L92</f>
        <v>36349</v>
      </c>
      <c r="N656" s="476">
        <f>'C'!M92</f>
        <v>49862.3</v>
      </c>
      <c r="O656" s="476">
        <f>'C'!N92</f>
        <v>96888</v>
      </c>
      <c r="P656" s="476">
        <f>'C'!O92</f>
        <v>195908.3</v>
      </c>
      <c r="Q656" s="477">
        <f>SUM(E656:P656)</f>
        <v>1502815.4000000001</v>
      </c>
    </row>
    <row r="657" spans="1:17" x14ac:dyDescent="0.2">
      <c r="A657" s="222">
        <f>A656+1</f>
        <v>8</v>
      </c>
      <c r="C657" s="219" t="str">
        <f>'C'!B81</f>
        <v xml:space="preserve">    Next 350 Mcf</v>
      </c>
      <c r="D657" s="731"/>
      <c r="E657" s="476">
        <f>'C'!D93</f>
        <v>283489.2</v>
      </c>
      <c r="F657" s="476">
        <f>'C'!E93</f>
        <v>279296.2</v>
      </c>
      <c r="G657" s="476">
        <f>'C'!F93</f>
        <v>181833.2</v>
      </c>
      <c r="H657" s="476">
        <f>'C'!G93</f>
        <v>106946.4</v>
      </c>
      <c r="I657" s="476">
        <f>'C'!H93</f>
        <v>47813</v>
      </c>
      <c r="J657" s="476">
        <f>'C'!I93</f>
        <v>28650.6</v>
      </c>
      <c r="K657" s="476">
        <f>'C'!J93</f>
        <v>16633.3</v>
      </c>
      <c r="L657" s="476">
        <f>'C'!K93</f>
        <v>15250.7</v>
      </c>
      <c r="M657" s="476">
        <f>'C'!L93</f>
        <v>14035.7</v>
      </c>
      <c r="N657" s="476">
        <f>'C'!M93</f>
        <v>24169.7</v>
      </c>
      <c r="O657" s="476">
        <f>'C'!N93</f>
        <v>64078</v>
      </c>
      <c r="P657" s="476">
        <f>'C'!O93</f>
        <v>176923</v>
      </c>
      <c r="Q657" s="477">
        <f>SUM(E657:P657)</f>
        <v>1239119</v>
      </c>
    </row>
    <row r="658" spans="1:17" x14ac:dyDescent="0.2">
      <c r="A658" s="222">
        <f>A657+1</f>
        <v>9</v>
      </c>
      <c r="C658" s="219" t="str">
        <f>'C'!B82</f>
        <v xml:space="preserve">    Next 600 Mcf</v>
      </c>
      <c r="D658" s="731"/>
      <c r="E658" s="476">
        <f>'C'!D94</f>
        <v>79219.5</v>
      </c>
      <c r="F658" s="476">
        <f>'C'!E94</f>
        <v>70800.100000000006</v>
      </c>
      <c r="G658" s="476">
        <f>'C'!F94</f>
        <v>38109.599999999999</v>
      </c>
      <c r="H658" s="476">
        <f>'C'!G94</f>
        <v>16494.099999999999</v>
      </c>
      <c r="I658" s="476">
        <f>'C'!H94</f>
        <v>7331.2</v>
      </c>
      <c r="J658" s="476">
        <f>'C'!I94</f>
        <v>3286.7</v>
      </c>
      <c r="K658" s="476">
        <f>'C'!J94</f>
        <v>1774.7</v>
      </c>
      <c r="L658" s="476">
        <f>'C'!K94</f>
        <v>1292</v>
      </c>
      <c r="M658" s="476">
        <f>'C'!L94</f>
        <v>1416.5</v>
      </c>
      <c r="N658" s="476">
        <f>'C'!M94</f>
        <v>3112.1</v>
      </c>
      <c r="O658" s="476">
        <f>'C'!N94</f>
        <v>8498.7999999999993</v>
      </c>
      <c r="P658" s="476">
        <f>'C'!O94</f>
        <v>39805.4</v>
      </c>
      <c r="Q658" s="477">
        <f>SUM(E658:P658)</f>
        <v>271140.70000000007</v>
      </c>
    </row>
    <row r="659" spans="1:17" x14ac:dyDescent="0.2">
      <c r="A659" s="222">
        <f>A658+1</f>
        <v>10</v>
      </c>
      <c r="C659" s="219" t="str">
        <f>'C'!B83</f>
        <v xml:space="preserve">    Over 1,000 Mcf</v>
      </c>
      <c r="D659" s="731"/>
      <c r="E659" s="515">
        <f>'C'!D95</f>
        <v>30357.3</v>
      </c>
      <c r="F659" s="515">
        <f>'C'!E95</f>
        <v>26213.4</v>
      </c>
      <c r="G659" s="515">
        <f>'C'!F95</f>
        <v>9008.2000000000007</v>
      </c>
      <c r="H659" s="515">
        <f>'C'!G95</f>
        <v>4479.6000000000004</v>
      </c>
      <c r="I659" s="515">
        <f>'C'!H95</f>
        <v>2530.3000000000002</v>
      </c>
      <c r="J659" s="515">
        <f>'C'!I95</f>
        <v>45.9</v>
      </c>
      <c r="K659" s="515">
        <f>'C'!J95</f>
        <v>0</v>
      </c>
      <c r="L659" s="515">
        <f>'C'!K95</f>
        <v>0</v>
      </c>
      <c r="M659" s="515">
        <f>'C'!L95</f>
        <v>0</v>
      </c>
      <c r="N659" s="515">
        <f>'C'!M95</f>
        <v>0</v>
      </c>
      <c r="O659" s="515">
        <f>'C'!N95</f>
        <v>1571.1</v>
      </c>
      <c r="P659" s="515">
        <f>'C'!O95</f>
        <v>10934.2</v>
      </c>
      <c r="Q659" s="515">
        <f>SUM(E659:P659)</f>
        <v>85140</v>
      </c>
    </row>
    <row r="660" spans="1:17" x14ac:dyDescent="0.2">
      <c r="D660" s="731"/>
      <c r="E660" s="476">
        <f t="shared" ref="E660:O660" si="214">SUM(E656:E659)</f>
        <v>660740</v>
      </c>
      <c r="F660" s="476">
        <f t="shared" si="214"/>
        <v>655060.9</v>
      </c>
      <c r="G660" s="476">
        <f t="shared" si="214"/>
        <v>456847.5</v>
      </c>
      <c r="H660" s="476">
        <f t="shared" si="214"/>
        <v>277301.89999999997</v>
      </c>
      <c r="I660" s="476">
        <f t="shared" si="214"/>
        <v>134480.19999999998</v>
      </c>
      <c r="J660" s="476">
        <f t="shared" si="214"/>
        <v>80718.299999999988</v>
      </c>
      <c r="K660" s="476">
        <f t="shared" si="214"/>
        <v>56728.5</v>
      </c>
      <c r="L660" s="476">
        <f t="shared" si="214"/>
        <v>52785.7</v>
      </c>
      <c r="M660" s="476">
        <f t="shared" si="214"/>
        <v>51801.2</v>
      </c>
      <c r="N660" s="476">
        <f t="shared" si="214"/>
        <v>77144.100000000006</v>
      </c>
      <c r="O660" s="476">
        <f t="shared" si="214"/>
        <v>171035.9</v>
      </c>
      <c r="P660" s="476">
        <f>SUM(P656:P659)</f>
        <v>423570.9</v>
      </c>
      <c r="Q660" s="476">
        <f>SUM(E660:P660)</f>
        <v>3098215.1</v>
      </c>
    </row>
    <row r="661" spans="1:17" x14ac:dyDescent="0.2">
      <c r="A661" s="222">
        <f>A659+1</f>
        <v>11</v>
      </c>
      <c r="C661" s="219" t="s">
        <v>207</v>
      </c>
      <c r="D661" s="731"/>
      <c r="E661" s="222"/>
      <c r="F661" s="288"/>
      <c r="G661" s="469"/>
      <c r="H661" s="288"/>
      <c r="I661" s="293"/>
      <c r="J661" s="288"/>
      <c r="K661" s="288"/>
      <c r="Q661" s="517"/>
    </row>
    <row r="662" spans="1:17" x14ac:dyDescent="0.2">
      <c r="A662" s="222">
        <f>A661+1</f>
        <v>12</v>
      </c>
      <c r="C662" s="219" t="str">
        <f>C656</f>
        <v xml:space="preserve">    First 50 Mcf</v>
      </c>
      <c r="D662" s="782">
        <f>Input!C30</f>
        <v>2.2665999999999999</v>
      </c>
      <c r="E662" s="427">
        <f t="shared" ref="E662:P662" si="215">ROUND(E656*$D$662,2)</f>
        <v>606709.89</v>
      </c>
      <c r="F662" s="427">
        <f t="shared" si="215"/>
        <v>631817.47</v>
      </c>
      <c r="G662" s="427">
        <f t="shared" si="215"/>
        <v>516550.21</v>
      </c>
      <c r="H662" s="427">
        <f t="shared" si="215"/>
        <v>338588.79</v>
      </c>
      <c r="I662" s="427">
        <f t="shared" si="215"/>
        <v>174087.8</v>
      </c>
      <c r="J662" s="427">
        <f t="shared" si="215"/>
        <v>110462.98</v>
      </c>
      <c r="K662" s="427">
        <f t="shared" si="215"/>
        <v>86857.25</v>
      </c>
      <c r="L662" s="427">
        <f t="shared" si="215"/>
        <v>82148.38</v>
      </c>
      <c r="M662" s="427">
        <f t="shared" si="215"/>
        <v>82388.639999999999</v>
      </c>
      <c r="N662" s="427">
        <f t="shared" si="215"/>
        <v>113017.89</v>
      </c>
      <c r="O662" s="427">
        <f t="shared" si="215"/>
        <v>219606.34</v>
      </c>
      <c r="P662" s="427">
        <f t="shared" si="215"/>
        <v>444045.75</v>
      </c>
      <c r="Q662" s="427">
        <f>SUM(E662:P662)</f>
        <v>3406281.3899999997</v>
      </c>
    </row>
    <row r="663" spans="1:17" x14ac:dyDescent="0.2">
      <c r="A663" s="222">
        <f>A662+1</f>
        <v>13</v>
      </c>
      <c r="C663" s="219" t="str">
        <f>C657</f>
        <v xml:space="preserve">    Next 350 Mcf</v>
      </c>
      <c r="D663" s="782">
        <f>Input!D30</f>
        <v>1.752</v>
      </c>
      <c r="E663" s="472">
        <f t="shared" ref="E663:P663" si="216">ROUND(E657*$D$663,2)</f>
        <v>496673.08</v>
      </c>
      <c r="F663" s="472">
        <f t="shared" si="216"/>
        <v>489326.94</v>
      </c>
      <c r="G663" s="472">
        <f t="shared" si="216"/>
        <v>318571.77</v>
      </c>
      <c r="H663" s="472">
        <f t="shared" si="216"/>
        <v>187370.09</v>
      </c>
      <c r="I663" s="472">
        <f t="shared" si="216"/>
        <v>83768.38</v>
      </c>
      <c r="J663" s="472">
        <f t="shared" si="216"/>
        <v>50195.85</v>
      </c>
      <c r="K663" s="472">
        <f t="shared" si="216"/>
        <v>29141.54</v>
      </c>
      <c r="L663" s="472">
        <f t="shared" si="216"/>
        <v>26719.23</v>
      </c>
      <c r="M663" s="472">
        <f t="shared" si="216"/>
        <v>24590.55</v>
      </c>
      <c r="N663" s="472">
        <f t="shared" si="216"/>
        <v>42345.31</v>
      </c>
      <c r="O663" s="472">
        <f t="shared" si="216"/>
        <v>112264.66</v>
      </c>
      <c r="P663" s="472">
        <f t="shared" si="216"/>
        <v>309969.09999999998</v>
      </c>
      <c r="Q663" s="473">
        <f>SUM(E663:P663)</f>
        <v>2170936.5000000005</v>
      </c>
    </row>
    <row r="664" spans="1:17" x14ac:dyDescent="0.2">
      <c r="A664" s="222">
        <f>A663+1</f>
        <v>14</v>
      </c>
      <c r="C664" s="219" t="str">
        <f>C658</f>
        <v xml:space="preserve">    Next 600 Mcf</v>
      </c>
      <c r="D664" s="782">
        <f>Input!E30</f>
        <v>1.6658999999999999</v>
      </c>
      <c r="E664" s="472">
        <f t="shared" ref="E664:P664" si="217">ROUND(E658*$D$664,2)</f>
        <v>131971.76999999999</v>
      </c>
      <c r="F664" s="472">
        <f t="shared" si="217"/>
        <v>117945.89</v>
      </c>
      <c r="G664" s="472">
        <f t="shared" si="217"/>
        <v>63486.78</v>
      </c>
      <c r="H664" s="472">
        <f t="shared" si="217"/>
        <v>27477.52</v>
      </c>
      <c r="I664" s="472">
        <f t="shared" si="217"/>
        <v>12213.05</v>
      </c>
      <c r="J664" s="472">
        <f t="shared" si="217"/>
        <v>5475.31</v>
      </c>
      <c r="K664" s="472">
        <f t="shared" si="217"/>
        <v>2956.47</v>
      </c>
      <c r="L664" s="472">
        <f t="shared" si="217"/>
        <v>2152.34</v>
      </c>
      <c r="M664" s="472">
        <f t="shared" si="217"/>
        <v>2359.75</v>
      </c>
      <c r="N664" s="472">
        <f t="shared" si="217"/>
        <v>5184.45</v>
      </c>
      <c r="O664" s="472">
        <f t="shared" si="217"/>
        <v>14158.15</v>
      </c>
      <c r="P664" s="472">
        <f t="shared" si="217"/>
        <v>66311.820000000007</v>
      </c>
      <c r="Q664" s="473">
        <f>SUM(E664:P664)</f>
        <v>451693.3</v>
      </c>
    </row>
    <row r="665" spans="1:17" x14ac:dyDescent="0.2">
      <c r="A665" s="222">
        <f>A664+1</f>
        <v>15</v>
      </c>
      <c r="C665" s="219" t="str">
        <f>C659</f>
        <v xml:space="preserve">    Over 1,000 Mcf</v>
      </c>
      <c r="D665" s="782">
        <f>Input!F30</f>
        <v>1.5164</v>
      </c>
      <c r="E665" s="518">
        <f t="shared" ref="E665:P665" si="218">ROUND(E659*$D$665,2)</f>
        <v>46033.81</v>
      </c>
      <c r="F665" s="518">
        <f t="shared" si="218"/>
        <v>39750</v>
      </c>
      <c r="G665" s="518">
        <f t="shared" si="218"/>
        <v>13660.03</v>
      </c>
      <c r="H665" s="518">
        <f t="shared" si="218"/>
        <v>6792.87</v>
      </c>
      <c r="I665" s="518">
        <f t="shared" si="218"/>
        <v>3836.95</v>
      </c>
      <c r="J665" s="518">
        <f t="shared" si="218"/>
        <v>69.599999999999994</v>
      </c>
      <c r="K665" s="518">
        <f t="shared" si="218"/>
        <v>0</v>
      </c>
      <c r="L665" s="518">
        <f t="shared" si="218"/>
        <v>0</v>
      </c>
      <c r="M665" s="518">
        <f t="shared" si="218"/>
        <v>0</v>
      </c>
      <c r="N665" s="518">
        <f t="shared" si="218"/>
        <v>0</v>
      </c>
      <c r="O665" s="518">
        <f t="shared" si="218"/>
        <v>2382.42</v>
      </c>
      <c r="P665" s="518">
        <f t="shared" si="218"/>
        <v>16580.62</v>
      </c>
      <c r="Q665" s="518">
        <f>SUM(E665:P665)</f>
        <v>129106.29999999999</v>
      </c>
    </row>
    <row r="666" spans="1:17" x14ac:dyDescent="0.2">
      <c r="D666" s="731"/>
      <c r="E666" s="427">
        <f t="shared" ref="E666:O666" si="219">SUM(E662:E665)</f>
        <v>1281388.55</v>
      </c>
      <c r="F666" s="427">
        <f t="shared" si="219"/>
        <v>1278840.2999999998</v>
      </c>
      <c r="G666" s="427">
        <f t="shared" si="219"/>
        <v>912268.79</v>
      </c>
      <c r="H666" s="427">
        <f t="shared" si="219"/>
        <v>560229.27</v>
      </c>
      <c r="I666" s="427">
        <f t="shared" si="219"/>
        <v>273906.18</v>
      </c>
      <c r="J666" s="427">
        <f t="shared" si="219"/>
        <v>166203.74</v>
      </c>
      <c r="K666" s="427">
        <f t="shared" si="219"/>
        <v>118955.26000000001</v>
      </c>
      <c r="L666" s="427">
        <f t="shared" si="219"/>
        <v>111019.95</v>
      </c>
      <c r="M666" s="427">
        <f t="shared" si="219"/>
        <v>109338.94</v>
      </c>
      <c r="N666" s="427">
        <f t="shared" si="219"/>
        <v>160547.65000000002</v>
      </c>
      <c r="O666" s="427">
        <f t="shared" si="219"/>
        <v>348411.57</v>
      </c>
      <c r="P666" s="427">
        <f>SUM(P662:P665)</f>
        <v>836907.28999999992</v>
      </c>
      <c r="Q666" s="427">
        <f>SUM(E666:P666)</f>
        <v>6158017.4900000012</v>
      </c>
    </row>
    <row r="667" spans="1:17" x14ac:dyDescent="0.2">
      <c r="D667" s="731"/>
      <c r="E667" s="288"/>
      <c r="F667" s="288"/>
      <c r="G667" s="288"/>
      <c r="H667" s="288"/>
      <c r="I667" s="288"/>
      <c r="J667" s="288"/>
      <c r="K667" s="288"/>
      <c r="L667" s="288"/>
      <c r="M667" s="288"/>
      <c r="N667" s="288"/>
      <c r="O667" s="288"/>
      <c r="P667" s="288"/>
      <c r="Q667" s="288"/>
    </row>
    <row r="668" spans="1:17" x14ac:dyDescent="0.2">
      <c r="A668" s="222">
        <f>A665+1</f>
        <v>16</v>
      </c>
      <c r="C668" s="219" t="s">
        <v>204</v>
      </c>
      <c r="D668" s="731"/>
      <c r="E668" s="427">
        <f t="shared" ref="E668:O668" si="220">E652+E653+E666</f>
        <v>1746011.19</v>
      </c>
      <c r="F668" s="427">
        <f t="shared" si="220"/>
        <v>1746376.2199999997</v>
      </c>
      <c r="G668" s="427">
        <f t="shared" si="220"/>
        <v>1369061.99</v>
      </c>
      <c r="H668" s="427">
        <f t="shared" si="220"/>
        <v>1015565.8300000001</v>
      </c>
      <c r="I668" s="427">
        <f t="shared" si="220"/>
        <v>723734.82000000007</v>
      </c>
      <c r="J668" s="427">
        <f t="shared" si="220"/>
        <v>611389.34</v>
      </c>
      <c r="K668" s="427">
        <f t="shared" si="220"/>
        <v>564277.42000000004</v>
      </c>
      <c r="L668" s="427">
        <f t="shared" si="220"/>
        <v>555750.35</v>
      </c>
      <c r="M668" s="427">
        <f t="shared" si="220"/>
        <v>552658.22</v>
      </c>
      <c r="N668" s="427">
        <f t="shared" si="220"/>
        <v>605369.09000000008</v>
      </c>
      <c r="O668" s="427">
        <f t="shared" si="220"/>
        <v>799742.37</v>
      </c>
      <c r="P668" s="427">
        <f>P652+P653+P666</f>
        <v>1295566.81</v>
      </c>
      <c r="Q668" s="427">
        <f>SUM(E668:P668)</f>
        <v>11585503.649999999</v>
      </c>
    </row>
    <row r="669" spans="1:17" x14ac:dyDescent="0.2">
      <c r="D669" s="731"/>
      <c r="E669" s="466"/>
      <c r="F669" s="466"/>
      <c r="G669" s="466"/>
      <c r="H669" s="466"/>
      <c r="I669" s="466"/>
      <c r="J669" s="466"/>
      <c r="K669" s="466"/>
      <c r="L669" s="466"/>
      <c r="M669" s="466"/>
      <c r="N669" s="466"/>
      <c r="O669" s="466"/>
      <c r="P669" s="466"/>
      <c r="Q669" s="466"/>
    </row>
    <row r="670" spans="1:17" x14ac:dyDescent="0.2">
      <c r="A670" s="222">
        <f>A668+1</f>
        <v>17</v>
      </c>
      <c r="C670" s="219" t="s">
        <v>208</v>
      </c>
      <c r="D670" s="782">
        <f>EGC</f>
        <v>2.2090999999999998</v>
      </c>
      <c r="E670" s="427">
        <f t="shared" ref="E670:O670" si="221">ROUND(E660*$D$670,2)</f>
        <v>1459640.73</v>
      </c>
      <c r="F670" s="427">
        <f t="shared" si="221"/>
        <v>1447095.03</v>
      </c>
      <c r="G670" s="427">
        <f t="shared" si="221"/>
        <v>1009221.81</v>
      </c>
      <c r="H670" s="427">
        <f t="shared" si="221"/>
        <v>612587.63</v>
      </c>
      <c r="I670" s="427">
        <f t="shared" si="221"/>
        <v>297080.21000000002</v>
      </c>
      <c r="J670" s="427">
        <f t="shared" si="221"/>
        <v>178314.8</v>
      </c>
      <c r="K670" s="427">
        <f t="shared" si="221"/>
        <v>125318.93</v>
      </c>
      <c r="L670" s="427">
        <f t="shared" si="221"/>
        <v>116608.89</v>
      </c>
      <c r="M670" s="427">
        <f t="shared" si="221"/>
        <v>114434.03</v>
      </c>
      <c r="N670" s="427">
        <f t="shared" si="221"/>
        <v>170419.03</v>
      </c>
      <c r="O670" s="427">
        <f t="shared" si="221"/>
        <v>377835.41</v>
      </c>
      <c r="P670" s="427">
        <f>ROUND(P660*$D$670,2)</f>
        <v>935710.48</v>
      </c>
      <c r="Q670" s="427">
        <f>SUM(E670:P670)</f>
        <v>6844266.9800000004</v>
      </c>
    </row>
    <row r="671" spans="1:17" x14ac:dyDescent="0.2">
      <c r="D671" s="516"/>
      <c r="E671" s="466"/>
      <c r="F671" s="466"/>
      <c r="G671" s="466"/>
      <c r="H671" s="466"/>
      <c r="I671" s="466"/>
      <c r="J671" s="466"/>
      <c r="K671" s="466"/>
      <c r="L671" s="466"/>
      <c r="M671" s="466"/>
      <c r="N671" s="466"/>
      <c r="O671" s="466"/>
      <c r="P671" s="466"/>
      <c r="Q671" s="466"/>
    </row>
    <row r="672" spans="1:17" x14ac:dyDescent="0.2">
      <c r="A672" s="446">
        <f>A670+1</f>
        <v>18</v>
      </c>
      <c r="B672" s="447"/>
      <c r="C672" s="447" t="s">
        <v>206</v>
      </c>
      <c r="D672" s="519"/>
      <c r="E672" s="450">
        <f t="shared" ref="E672:O672" si="222">E668+E670</f>
        <v>3205651.92</v>
      </c>
      <c r="F672" s="450">
        <f t="shared" si="222"/>
        <v>3193471.25</v>
      </c>
      <c r="G672" s="450">
        <f t="shared" si="222"/>
        <v>2378283.7999999998</v>
      </c>
      <c r="H672" s="450">
        <f t="shared" si="222"/>
        <v>1628153.46</v>
      </c>
      <c r="I672" s="450">
        <f t="shared" si="222"/>
        <v>1020815.03</v>
      </c>
      <c r="J672" s="450">
        <f t="shared" si="222"/>
        <v>789704.1399999999</v>
      </c>
      <c r="K672" s="450">
        <f t="shared" si="222"/>
        <v>689596.35000000009</v>
      </c>
      <c r="L672" s="450">
        <f t="shared" si="222"/>
        <v>672359.24</v>
      </c>
      <c r="M672" s="450">
        <f t="shared" si="222"/>
        <v>667092.25</v>
      </c>
      <c r="N672" s="450">
        <f t="shared" si="222"/>
        <v>775788.12000000011</v>
      </c>
      <c r="O672" s="450">
        <f t="shared" si="222"/>
        <v>1177577.78</v>
      </c>
      <c r="P672" s="450">
        <f>P668+P670</f>
        <v>2231277.29</v>
      </c>
      <c r="Q672" s="450">
        <f>SUM(E672:P672)</f>
        <v>18429770.629999999</v>
      </c>
    </row>
    <row r="673" spans="1:17" x14ac:dyDescent="0.2">
      <c r="D673" s="520"/>
      <c r="E673" s="466"/>
      <c r="F673" s="466"/>
      <c r="G673" s="466"/>
      <c r="H673" s="466"/>
      <c r="I673" s="466"/>
      <c r="J673" s="466"/>
      <c r="K673" s="466"/>
      <c r="L673" s="459"/>
      <c r="M673" s="459"/>
      <c r="N673" s="459"/>
      <c r="O673" s="459"/>
      <c r="P673" s="459"/>
      <c r="Q673" s="484"/>
    </row>
    <row r="674" spans="1:17" x14ac:dyDescent="0.2">
      <c r="A674" s="222">
        <f>A672+1</f>
        <v>19</v>
      </c>
      <c r="C674" s="219" t="s">
        <v>196</v>
      </c>
      <c r="D674" s="520"/>
      <c r="E674" s="466"/>
      <c r="F674" s="466"/>
      <c r="G674" s="466"/>
      <c r="H674" s="466"/>
      <c r="I674" s="466"/>
      <c r="J674" s="466"/>
      <c r="K674" s="466"/>
      <c r="L674" s="459"/>
      <c r="M674" s="459"/>
      <c r="N674" s="459"/>
      <c r="O674" s="459"/>
      <c r="P674" s="459"/>
      <c r="Q674" s="484"/>
    </row>
    <row r="675" spans="1:17" x14ac:dyDescent="0.2">
      <c r="A675" s="222">
        <f>A674+1</f>
        <v>20</v>
      </c>
      <c r="C675" s="240" t="s">
        <v>214</v>
      </c>
      <c r="D675" s="782">
        <f>Input!N30</f>
        <v>1.6E-2</v>
      </c>
      <c r="E675" s="427">
        <f t="shared" ref="E675:P675" si="223">ROUND(E660*$D$675,2)</f>
        <v>10571.84</v>
      </c>
      <c r="F675" s="427">
        <f t="shared" si="223"/>
        <v>10480.969999999999</v>
      </c>
      <c r="G675" s="427">
        <f t="shared" si="223"/>
        <v>7309.56</v>
      </c>
      <c r="H675" s="427">
        <f t="shared" si="223"/>
        <v>4436.83</v>
      </c>
      <c r="I675" s="427">
        <f t="shared" si="223"/>
        <v>2151.6799999999998</v>
      </c>
      <c r="J675" s="427">
        <f t="shared" si="223"/>
        <v>1291.49</v>
      </c>
      <c r="K675" s="427">
        <f t="shared" si="223"/>
        <v>907.66</v>
      </c>
      <c r="L675" s="427">
        <f t="shared" si="223"/>
        <v>844.57</v>
      </c>
      <c r="M675" s="427">
        <f t="shared" si="223"/>
        <v>828.82</v>
      </c>
      <c r="N675" s="427">
        <f t="shared" si="223"/>
        <v>1234.31</v>
      </c>
      <c r="O675" s="427">
        <f t="shared" si="223"/>
        <v>2736.57</v>
      </c>
      <c r="P675" s="427">
        <f t="shared" si="223"/>
        <v>6777.13</v>
      </c>
      <c r="Q675" s="427">
        <f>SUM(E675:P675)</f>
        <v>49571.429999999993</v>
      </c>
    </row>
    <row r="676" spans="1:17" x14ac:dyDescent="0.2">
      <c r="E676" s="459"/>
      <c r="F676" s="459"/>
      <c r="G676" s="459"/>
      <c r="H676" s="459"/>
      <c r="I676" s="459"/>
      <c r="J676" s="459"/>
      <c r="K676" s="459"/>
      <c r="L676" s="459"/>
      <c r="M676" s="459"/>
      <c r="N676" s="459"/>
      <c r="O676" s="459"/>
      <c r="P676" s="459"/>
      <c r="Q676" s="459"/>
    </row>
    <row r="677" spans="1:17" ht="10.8" thickBot="1" x14ac:dyDescent="0.25">
      <c r="A677" s="488">
        <f>A675+1</f>
        <v>21</v>
      </c>
      <c r="B677" s="489"/>
      <c r="C677" s="490" t="s">
        <v>205</v>
      </c>
      <c r="D677" s="491"/>
      <c r="E677" s="492">
        <f>E672+E675</f>
        <v>3216223.76</v>
      </c>
      <c r="F677" s="492">
        <f t="shared" ref="F677:P677" si="224">F672+F675</f>
        <v>3203952.22</v>
      </c>
      <c r="G677" s="492">
        <f t="shared" si="224"/>
        <v>2385593.36</v>
      </c>
      <c r="H677" s="492">
        <f t="shared" si="224"/>
        <v>1632590.29</v>
      </c>
      <c r="I677" s="492">
        <f t="shared" si="224"/>
        <v>1022966.7100000001</v>
      </c>
      <c r="J677" s="492">
        <f t="shared" si="224"/>
        <v>790995.62999999989</v>
      </c>
      <c r="K677" s="492">
        <f t="shared" si="224"/>
        <v>690504.01000000013</v>
      </c>
      <c r="L677" s="492">
        <f t="shared" si="224"/>
        <v>673203.80999999994</v>
      </c>
      <c r="M677" s="492">
        <f t="shared" si="224"/>
        <v>667921.06999999995</v>
      </c>
      <c r="N677" s="492">
        <f t="shared" si="224"/>
        <v>777022.43000000017</v>
      </c>
      <c r="O677" s="492">
        <f t="shared" si="224"/>
        <v>1180314.3500000001</v>
      </c>
      <c r="P677" s="492">
        <f t="shared" si="224"/>
        <v>2238054.42</v>
      </c>
      <c r="Q677" s="492">
        <f>SUM(E677:P677)</f>
        <v>18479342.059999999</v>
      </c>
    </row>
    <row r="678" spans="1:17" ht="10.8" thickTop="1" x14ac:dyDescent="0.2">
      <c r="Q678" s="412"/>
    </row>
    <row r="680" spans="1:17" x14ac:dyDescent="0.2">
      <c r="A680" s="222" t="str">
        <f>$A$270</f>
        <v>[1] Reflects Normalized Volumes.</v>
      </c>
    </row>
    <row r="681" spans="1:17" x14ac:dyDescent="0.2">
      <c r="A681" s="222" t="str">
        <f>"[2] Reflects Gas Cost Adjustment Rate"&amp;CONCATENATE(" as of ",EGCDATE)&amp;"."</f>
        <v>[2] Reflects Gas Cost Adjustment Rate as of March 1, 2016.</v>
      </c>
    </row>
    <row r="682" spans="1:17" x14ac:dyDescent="0.2">
      <c r="A682" s="993" t="str">
        <f>CONAME</f>
        <v>Columbia Gas of Kentucky, Inc.</v>
      </c>
      <c r="B682" s="993"/>
      <c r="C682" s="993"/>
      <c r="D682" s="993"/>
      <c r="E682" s="993"/>
      <c r="F682" s="993"/>
      <c r="G682" s="993"/>
      <c r="H682" s="993"/>
      <c r="I682" s="993"/>
      <c r="J682" s="993"/>
      <c r="K682" s="993"/>
      <c r="L682" s="993"/>
      <c r="M682" s="993"/>
      <c r="N682" s="993"/>
      <c r="O682" s="993"/>
      <c r="P682" s="993"/>
      <c r="Q682" s="993"/>
    </row>
    <row r="683" spans="1:17" x14ac:dyDescent="0.2">
      <c r="A683" s="981" t="str">
        <f>case</f>
        <v>Case No. 2016-00162</v>
      </c>
      <c r="B683" s="981"/>
      <c r="C683" s="981"/>
      <c r="D683" s="981"/>
      <c r="E683" s="981"/>
      <c r="F683" s="981"/>
      <c r="G683" s="981"/>
      <c r="H683" s="981"/>
      <c r="I683" s="981"/>
      <c r="J683" s="981"/>
      <c r="K683" s="981"/>
      <c r="L683" s="981"/>
      <c r="M683" s="981"/>
      <c r="N683" s="981"/>
      <c r="O683" s="981"/>
      <c r="P683" s="981"/>
      <c r="Q683" s="981"/>
    </row>
    <row r="684" spans="1:17" x14ac:dyDescent="0.2">
      <c r="A684" s="994" t="s">
        <v>494</v>
      </c>
      <c r="B684" s="994"/>
      <c r="C684" s="994"/>
      <c r="D684" s="994"/>
      <c r="E684" s="994"/>
      <c r="F684" s="994"/>
      <c r="G684" s="994"/>
      <c r="H684" s="994"/>
      <c r="I684" s="994"/>
      <c r="J684" s="994"/>
      <c r="K684" s="994"/>
      <c r="L684" s="994"/>
      <c r="M684" s="994"/>
      <c r="N684" s="994"/>
      <c r="O684" s="994"/>
      <c r="P684" s="994"/>
      <c r="Q684" s="994"/>
    </row>
    <row r="685" spans="1:17" x14ac:dyDescent="0.2">
      <c r="A685" s="993" t="str">
        <f>TYDESC</f>
        <v>For the 12 Months Ended December 31, 2017</v>
      </c>
      <c r="B685" s="993"/>
      <c r="C685" s="993"/>
      <c r="D685" s="993"/>
      <c r="E685" s="993"/>
      <c r="F685" s="993"/>
      <c r="G685" s="993"/>
      <c r="H685" s="993"/>
      <c r="I685" s="993"/>
      <c r="J685" s="993"/>
      <c r="K685" s="993"/>
      <c r="L685" s="993"/>
      <c r="M685" s="993"/>
      <c r="N685" s="993"/>
      <c r="O685" s="993"/>
      <c r="P685" s="993"/>
      <c r="Q685" s="993"/>
    </row>
    <row r="686" spans="1:17" x14ac:dyDescent="0.2">
      <c r="A686" s="991" t="s">
        <v>39</v>
      </c>
      <c r="B686" s="991"/>
      <c r="C686" s="991"/>
      <c r="D686" s="991"/>
      <c r="E686" s="991"/>
      <c r="F686" s="991"/>
      <c r="G686" s="991"/>
      <c r="H686" s="991"/>
      <c r="I686" s="991"/>
      <c r="J686" s="991"/>
      <c r="K686" s="991"/>
      <c r="L686" s="991"/>
      <c r="M686" s="991"/>
      <c r="N686" s="991"/>
      <c r="O686" s="991"/>
      <c r="P686" s="991"/>
      <c r="Q686" s="991"/>
    </row>
    <row r="687" spans="1:17" x14ac:dyDescent="0.2">
      <c r="A687" s="262" t="str">
        <f>$A$52</f>
        <v>Data: __ Base Period _X_ Forecasted Period</v>
      </c>
    </row>
    <row r="688" spans="1:17" x14ac:dyDescent="0.2">
      <c r="A688" s="262" t="str">
        <f>$A$53</f>
        <v>Type of Filing: X Original _ Update _ Revised</v>
      </c>
      <c r="Q688" s="413" t="str">
        <f>$Q$53</f>
        <v>Schedule M-2.2</v>
      </c>
    </row>
    <row r="689" spans="1:17" x14ac:dyDescent="0.2">
      <c r="A689" s="262" t="str">
        <f>$A$54</f>
        <v>Work Paper Reference No(s):</v>
      </c>
      <c r="Q689" s="413" t="s">
        <v>512</v>
      </c>
    </row>
    <row r="690" spans="1:17" x14ac:dyDescent="0.2">
      <c r="A690" s="414" t="str">
        <f>$A$55</f>
        <v>12 Months Forecasted</v>
      </c>
      <c r="Q690" s="413" t="str">
        <f>Witness</f>
        <v>Witness:  M. J. Bell</v>
      </c>
    </row>
    <row r="691" spans="1:17" x14ac:dyDescent="0.2">
      <c r="A691" s="992" t="s">
        <v>194</v>
      </c>
      <c r="B691" s="992"/>
      <c r="C691" s="992"/>
      <c r="D691" s="992"/>
      <c r="E691" s="992"/>
      <c r="F691" s="992"/>
      <c r="G691" s="992"/>
      <c r="H691" s="992"/>
      <c r="I691" s="992"/>
      <c r="J691" s="992"/>
      <c r="K691" s="992"/>
      <c r="L691" s="992"/>
      <c r="M691" s="992"/>
      <c r="N691" s="992"/>
      <c r="O691" s="992"/>
      <c r="P691" s="992"/>
      <c r="Q691" s="992"/>
    </row>
    <row r="692" spans="1:17" x14ac:dyDescent="0.2">
      <c r="A692" s="433"/>
      <c r="B692" s="301"/>
      <c r="C692" s="301"/>
      <c r="D692" s="300"/>
      <c r="E692" s="301"/>
      <c r="F692" s="415"/>
      <c r="G692" s="435"/>
      <c r="H692" s="415"/>
      <c r="I692" s="436"/>
      <c r="J692" s="415"/>
      <c r="K692" s="415"/>
      <c r="L692" s="415"/>
      <c r="M692" s="415"/>
      <c r="N692" s="415"/>
      <c r="O692" s="415"/>
      <c r="P692" s="415"/>
      <c r="Q692" s="301"/>
    </row>
    <row r="693" spans="1:17" x14ac:dyDescent="0.2">
      <c r="A693" s="410" t="s">
        <v>1</v>
      </c>
      <c r="B693" s="224" t="s">
        <v>0</v>
      </c>
      <c r="C693" s="224" t="s">
        <v>41</v>
      </c>
      <c r="D693" s="416" t="s">
        <v>47</v>
      </c>
      <c r="E693" s="224"/>
      <c r="F693" s="417"/>
      <c r="G693" s="418"/>
      <c r="H693" s="417"/>
      <c r="I693" s="419"/>
      <c r="J693" s="417"/>
      <c r="K693" s="417"/>
      <c r="L693" s="417"/>
      <c r="M693" s="417"/>
      <c r="N693" s="417"/>
      <c r="O693" s="417"/>
      <c r="P693" s="417"/>
      <c r="Q693" s="229"/>
    </row>
    <row r="694" spans="1:17" x14ac:dyDescent="0.2">
      <c r="A694" s="281" t="s">
        <v>3</v>
      </c>
      <c r="B694" s="226" t="s">
        <v>40</v>
      </c>
      <c r="C694" s="226" t="s">
        <v>4</v>
      </c>
      <c r="D694" s="420" t="s">
        <v>48</v>
      </c>
      <c r="E694" s="421" t="str">
        <f>B!$D$11</f>
        <v>Jan-17</v>
      </c>
      <c r="F694" s="421" t="str">
        <f>B!$E$11</f>
        <v>Feb-17</v>
      </c>
      <c r="G694" s="421" t="str">
        <f>B!$F$11</f>
        <v>Mar-17</v>
      </c>
      <c r="H694" s="421" t="str">
        <f>B!$G$11</f>
        <v>Apr-17</v>
      </c>
      <c r="I694" s="421" t="str">
        <f>B!$H$11</f>
        <v>May-17</v>
      </c>
      <c r="J694" s="421" t="str">
        <f>B!$I$11</f>
        <v>Jun-17</v>
      </c>
      <c r="K694" s="421" t="str">
        <f>B!$J$11</f>
        <v>Jul-17</v>
      </c>
      <c r="L694" s="421" t="str">
        <f>B!$K$11</f>
        <v>Aug-17</v>
      </c>
      <c r="M694" s="421" t="str">
        <f>B!$L$11</f>
        <v>Sep-17</v>
      </c>
      <c r="N694" s="421" t="str">
        <f>B!$M$11</f>
        <v>Oct-17</v>
      </c>
      <c r="O694" s="421" t="str">
        <f>B!$N$11</f>
        <v>Nov-17</v>
      </c>
      <c r="P694" s="421" t="str">
        <f>B!$O$11</f>
        <v>Dec-17</v>
      </c>
      <c r="Q694" s="422" t="s">
        <v>9</v>
      </c>
    </row>
    <row r="695" spans="1:17" x14ac:dyDescent="0.2">
      <c r="A695" s="410"/>
      <c r="B695" s="229" t="s">
        <v>42</v>
      </c>
      <c r="C695" s="229" t="s">
        <v>43</v>
      </c>
      <c r="D695" s="423" t="s">
        <v>45</v>
      </c>
      <c r="E695" s="424" t="s">
        <v>46</v>
      </c>
      <c r="F695" s="424" t="s">
        <v>49</v>
      </c>
      <c r="G695" s="424" t="s">
        <v>50</v>
      </c>
      <c r="H695" s="424" t="s">
        <v>51</v>
      </c>
      <c r="I695" s="424" t="s">
        <v>52</v>
      </c>
      <c r="J695" s="424" t="s">
        <v>53</v>
      </c>
      <c r="K695" s="425" t="s">
        <v>54</v>
      </c>
      <c r="L695" s="425" t="s">
        <v>55</v>
      </c>
      <c r="M695" s="425" t="s">
        <v>56</v>
      </c>
      <c r="N695" s="425" t="s">
        <v>57</v>
      </c>
      <c r="O695" s="425" t="s">
        <v>58</v>
      </c>
      <c r="P695" s="425" t="s">
        <v>59</v>
      </c>
      <c r="Q695" s="425" t="s">
        <v>203</v>
      </c>
    </row>
    <row r="696" spans="1:17" x14ac:dyDescent="0.2">
      <c r="E696" s="229"/>
      <c r="F696" s="425"/>
      <c r="G696" s="437"/>
      <c r="H696" s="425"/>
      <c r="I696" s="424"/>
      <c r="J696" s="425"/>
      <c r="K696" s="425"/>
      <c r="L696" s="425"/>
      <c r="M696" s="425"/>
      <c r="N696" s="425"/>
      <c r="O696" s="425"/>
      <c r="P696" s="425"/>
      <c r="Q696" s="229"/>
    </row>
    <row r="697" spans="1:17" x14ac:dyDescent="0.2">
      <c r="A697" s="222">
        <v>1</v>
      </c>
      <c r="B697" s="219" t="str">
        <f>B185</f>
        <v>GSO</v>
      </c>
      <c r="C697" s="219" t="str">
        <f>C185</f>
        <v>General Service - Industrial</v>
      </c>
    </row>
    <row r="699" spans="1:17" x14ac:dyDescent="0.2">
      <c r="A699" s="222">
        <f>A697+1</f>
        <v>2</v>
      </c>
      <c r="C699" s="223" t="s">
        <v>112</v>
      </c>
    </row>
    <row r="700" spans="1:17" x14ac:dyDescent="0.2">
      <c r="C700" s="223"/>
    </row>
    <row r="701" spans="1:17" x14ac:dyDescent="0.2">
      <c r="A701" s="222">
        <f>A699+1</f>
        <v>3</v>
      </c>
      <c r="C701" s="219" t="s">
        <v>202</v>
      </c>
      <c r="E701" s="472">
        <f>B!D87</f>
        <v>43</v>
      </c>
      <c r="F701" s="472">
        <f>B!E87</f>
        <v>43</v>
      </c>
      <c r="G701" s="472">
        <f>B!F87</f>
        <v>43</v>
      </c>
      <c r="H701" s="472">
        <f>B!G87</f>
        <v>43</v>
      </c>
      <c r="I701" s="472">
        <f>B!H87</f>
        <v>43</v>
      </c>
      <c r="J701" s="472">
        <f>B!I87</f>
        <v>44</v>
      </c>
      <c r="K701" s="472">
        <f>B!J87</f>
        <v>44</v>
      </c>
      <c r="L701" s="472">
        <f>B!K87</f>
        <v>45</v>
      </c>
      <c r="M701" s="472">
        <f>B!L87</f>
        <v>44</v>
      </c>
      <c r="N701" s="472">
        <f>B!M87</f>
        <v>44</v>
      </c>
      <c r="O701" s="472">
        <f>B!N87</f>
        <v>44</v>
      </c>
      <c r="P701" s="472">
        <f>B!O87</f>
        <v>44</v>
      </c>
      <c r="Q701" s="473">
        <f>SUM(E701:P701)</f>
        <v>524</v>
      </c>
    </row>
    <row r="702" spans="1:17" x14ac:dyDescent="0.2">
      <c r="A702" s="222">
        <f>A701+1</f>
        <v>4</v>
      </c>
      <c r="C702" s="219" t="s">
        <v>210</v>
      </c>
      <c r="D702" s="781">
        <f>Input!H31</f>
        <v>37.5</v>
      </c>
      <c r="E702" s="427">
        <f t="shared" ref="E702:P702" si="225">ROUND(E701*$D$702,2)</f>
        <v>1612.5</v>
      </c>
      <c r="F702" s="427">
        <f t="shared" si="225"/>
        <v>1612.5</v>
      </c>
      <c r="G702" s="427">
        <f t="shared" si="225"/>
        <v>1612.5</v>
      </c>
      <c r="H702" s="427">
        <f t="shared" si="225"/>
        <v>1612.5</v>
      </c>
      <c r="I702" s="427">
        <f t="shared" si="225"/>
        <v>1612.5</v>
      </c>
      <c r="J702" s="427">
        <f t="shared" si="225"/>
        <v>1650</v>
      </c>
      <c r="K702" s="427">
        <f t="shared" si="225"/>
        <v>1650</v>
      </c>
      <c r="L702" s="427">
        <f t="shared" si="225"/>
        <v>1687.5</v>
      </c>
      <c r="M702" s="427">
        <f t="shared" si="225"/>
        <v>1650</v>
      </c>
      <c r="N702" s="427">
        <f t="shared" si="225"/>
        <v>1650</v>
      </c>
      <c r="O702" s="427">
        <f t="shared" si="225"/>
        <v>1650</v>
      </c>
      <c r="P702" s="427">
        <f t="shared" si="225"/>
        <v>1650</v>
      </c>
      <c r="Q702" s="427">
        <f>SUM(E702:P702)</f>
        <v>19650</v>
      </c>
    </row>
    <row r="703" spans="1:17" x14ac:dyDescent="0.2">
      <c r="A703" s="222">
        <f>A702+1</f>
        <v>5</v>
      </c>
      <c r="C703" s="219" t="s">
        <v>211</v>
      </c>
      <c r="D703" s="781">
        <f>Input!J31</f>
        <v>8.02</v>
      </c>
      <c r="E703" s="427">
        <f t="shared" ref="E703:P703" si="226">ROUND(E701*$D$703,2)</f>
        <v>344.86</v>
      </c>
      <c r="F703" s="427">
        <f t="shared" si="226"/>
        <v>344.86</v>
      </c>
      <c r="G703" s="427">
        <f t="shared" si="226"/>
        <v>344.86</v>
      </c>
      <c r="H703" s="427">
        <f t="shared" si="226"/>
        <v>344.86</v>
      </c>
      <c r="I703" s="427">
        <f t="shared" si="226"/>
        <v>344.86</v>
      </c>
      <c r="J703" s="427">
        <f t="shared" si="226"/>
        <v>352.88</v>
      </c>
      <c r="K703" s="427">
        <f t="shared" si="226"/>
        <v>352.88</v>
      </c>
      <c r="L703" s="427">
        <f t="shared" si="226"/>
        <v>360.9</v>
      </c>
      <c r="M703" s="427">
        <f t="shared" si="226"/>
        <v>352.88</v>
      </c>
      <c r="N703" s="427">
        <f t="shared" si="226"/>
        <v>352.88</v>
      </c>
      <c r="O703" s="427">
        <f t="shared" si="226"/>
        <v>352.88</v>
      </c>
      <c r="P703" s="427">
        <f t="shared" si="226"/>
        <v>352.88</v>
      </c>
      <c r="Q703" s="427">
        <f>SUM(E703:P703)</f>
        <v>4202.4800000000005</v>
      </c>
    </row>
    <row r="704" spans="1:17" x14ac:dyDescent="0.2">
      <c r="D704" s="731"/>
      <c r="E704" s="222"/>
      <c r="F704" s="288"/>
      <c r="G704" s="469"/>
      <c r="H704" s="288"/>
      <c r="I704" s="293"/>
      <c r="J704" s="288"/>
      <c r="K704" s="288"/>
    </row>
    <row r="705" spans="1:17" x14ac:dyDescent="0.2">
      <c r="A705" s="222">
        <f>A703+1</f>
        <v>6</v>
      </c>
      <c r="C705" s="219" t="s">
        <v>209</v>
      </c>
      <c r="D705" s="731"/>
      <c r="E705" s="514"/>
      <c r="F705" s="288"/>
      <c r="G705" s="469"/>
      <c r="H705" s="288"/>
      <c r="I705" s="293"/>
      <c r="J705" s="288"/>
      <c r="K705" s="288"/>
    </row>
    <row r="706" spans="1:17" x14ac:dyDescent="0.2">
      <c r="A706" s="222">
        <f>A705+1</f>
        <v>7</v>
      </c>
      <c r="C706" s="219" t="str">
        <f>'C'!B113</f>
        <v xml:space="preserve">    First 50 Mcf</v>
      </c>
      <c r="D706" s="731"/>
      <c r="E706" s="476">
        <f>'C'!D125</f>
        <v>1708.9</v>
      </c>
      <c r="F706" s="476">
        <f>'C'!E125</f>
        <v>1701.3</v>
      </c>
      <c r="G706" s="476">
        <f>'C'!F125</f>
        <v>1750.8</v>
      </c>
      <c r="H706" s="476">
        <f>'C'!G125</f>
        <v>1513.3</v>
      </c>
      <c r="I706" s="476">
        <f>'C'!H125</f>
        <v>1170.7</v>
      </c>
      <c r="J706" s="476">
        <f>'C'!I125</f>
        <v>916.7</v>
      </c>
      <c r="K706" s="476">
        <f>'C'!J125</f>
        <v>785.3</v>
      </c>
      <c r="L706" s="476">
        <f>'C'!K125</f>
        <v>882.2</v>
      </c>
      <c r="M706" s="476">
        <f>'C'!L125</f>
        <v>940.1</v>
      </c>
      <c r="N706" s="476">
        <f>'C'!M125</f>
        <v>1050</v>
      </c>
      <c r="O706" s="476">
        <f>'C'!N125</f>
        <v>1434.4</v>
      </c>
      <c r="P706" s="476">
        <f>'C'!O125</f>
        <v>1636.5</v>
      </c>
      <c r="Q706" s="477">
        <f>SUM(E706:P706)</f>
        <v>15490.2</v>
      </c>
    </row>
    <row r="707" spans="1:17" x14ac:dyDescent="0.2">
      <c r="A707" s="222">
        <f>A706+1</f>
        <v>8</v>
      </c>
      <c r="C707" s="219" t="str">
        <f>'C'!B114</f>
        <v xml:space="preserve">    Next 350 Mcf</v>
      </c>
      <c r="D707" s="731"/>
      <c r="E707" s="476">
        <f>'C'!D126</f>
        <v>7148.9</v>
      </c>
      <c r="F707" s="476">
        <f>'C'!E126</f>
        <v>6006.8</v>
      </c>
      <c r="G707" s="476">
        <f>'C'!F126</f>
        <v>6156.4</v>
      </c>
      <c r="H707" s="476">
        <f>'C'!G126</f>
        <v>6215.5</v>
      </c>
      <c r="I707" s="476">
        <f>'C'!H126</f>
        <v>4577.2</v>
      </c>
      <c r="J707" s="476">
        <f>'C'!I126</f>
        <v>4111.5</v>
      </c>
      <c r="K707" s="476">
        <f>'C'!J126</f>
        <v>4287.7</v>
      </c>
      <c r="L707" s="476">
        <f>'C'!K126</f>
        <v>4689.2</v>
      </c>
      <c r="M707" s="476">
        <f>'C'!L126</f>
        <v>4390.5</v>
      </c>
      <c r="N707" s="476">
        <f>'C'!M126</f>
        <v>4922.5</v>
      </c>
      <c r="O707" s="476">
        <f>'C'!N126</f>
        <v>5568</v>
      </c>
      <c r="P707" s="476">
        <f>'C'!O126</f>
        <v>5921.9</v>
      </c>
      <c r="Q707" s="477">
        <f>SUM(E707:P707)</f>
        <v>63996.1</v>
      </c>
    </row>
    <row r="708" spans="1:17" x14ac:dyDescent="0.2">
      <c r="A708" s="222">
        <f>A707+1</f>
        <v>9</v>
      </c>
      <c r="C708" s="219" t="str">
        <f>'C'!B115</f>
        <v xml:space="preserve">    Next 600 Mcf</v>
      </c>
      <c r="D708" s="731"/>
      <c r="E708" s="476">
        <f>'C'!D127</f>
        <v>5057.5</v>
      </c>
      <c r="F708" s="476">
        <f>'C'!E127</f>
        <v>5060.1000000000004</v>
      </c>
      <c r="G708" s="476">
        <f>'C'!F127</f>
        <v>5050.7</v>
      </c>
      <c r="H708" s="476">
        <f>'C'!G127</f>
        <v>4677.8999999999996</v>
      </c>
      <c r="I708" s="476">
        <f>'C'!H127</f>
        <v>4645.7</v>
      </c>
      <c r="J708" s="476">
        <f>'C'!I127</f>
        <v>4385</v>
      </c>
      <c r="K708" s="476">
        <f>'C'!J127</f>
        <v>4760.5</v>
      </c>
      <c r="L708" s="476">
        <f>'C'!K127</f>
        <v>5222.2</v>
      </c>
      <c r="M708" s="476">
        <f>'C'!L127</f>
        <v>5369</v>
      </c>
      <c r="N708" s="476">
        <f>'C'!M127</f>
        <v>5769.7</v>
      </c>
      <c r="O708" s="476">
        <f>'C'!N127</f>
        <v>4707.2</v>
      </c>
      <c r="P708" s="476">
        <f>'C'!O127</f>
        <v>4633.3999999999996</v>
      </c>
      <c r="Q708" s="477">
        <f>SUM(E708:P708)</f>
        <v>59338.899999999987</v>
      </c>
    </row>
    <row r="709" spans="1:17" x14ac:dyDescent="0.2">
      <c r="A709" s="222">
        <f>A708+1</f>
        <v>10</v>
      </c>
      <c r="C709" s="219" t="str">
        <f>'C'!B116</f>
        <v xml:space="preserve">    Over 1,000 Mcf</v>
      </c>
      <c r="D709" s="731"/>
      <c r="E709" s="515">
        <f>'C'!D128</f>
        <v>19084.900000000001</v>
      </c>
      <c r="F709" s="515">
        <f>'C'!E128</f>
        <v>19231.7</v>
      </c>
      <c r="G709" s="515">
        <f>'C'!F128</f>
        <v>17942.099999999999</v>
      </c>
      <c r="H709" s="515">
        <f>'C'!G128</f>
        <v>17393.2</v>
      </c>
      <c r="I709" s="515">
        <f>'C'!H128</f>
        <v>18406.7</v>
      </c>
      <c r="J709" s="515">
        <f>'C'!I128</f>
        <v>18336.7</v>
      </c>
      <c r="K709" s="515">
        <f>'C'!J128</f>
        <v>17916.400000000001</v>
      </c>
      <c r="L709" s="515">
        <f>'C'!K128</f>
        <v>17956.599999999999</v>
      </c>
      <c r="M709" s="515">
        <f>'C'!L128</f>
        <v>18050.599999999999</v>
      </c>
      <c r="N709" s="515">
        <f>'C'!M128</f>
        <v>19107.7</v>
      </c>
      <c r="O709" s="515">
        <f>'C'!N128</f>
        <v>19190.400000000001</v>
      </c>
      <c r="P709" s="515">
        <f>'C'!O128</f>
        <v>18808.3</v>
      </c>
      <c r="Q709" s="515">
        <f>SUM(E709:P709)</f>
        <v>221425.30000000002</v>
      </c>
    </row>
    <row r="710" spans="1:17" x14ac:dyDescent="0.2">
      <c r="D710" s="731"/>
      <c r="E710" s="476">
        <f t="shared" ref="E710:O710" si="227">SUM(E706:E709)</f>
        <v>33000.199999999997</v>
      </c>
      <c r="F710" s="476">
        <f t="shared" si="227"/>
        <v>31999.9</v>
      </c>
      <c r="G710" s="476">
        <f t="shared" si="227"/>
        <v>30900</v>
      </c>
      <c r="H710" s="476">
        <f t="shared" si="227"/>
        <v>29799.9</v>
      </c>
      <c r="I710" s="476">
        <f t="shared" si="227"/>
        <v>28800.3</v>
      </c>
      <c r="J710" s="476">
        <f t="shared" si="227"/>
        <v>27749.9</v>
      </c>
      <c r="K710" s="476">
        <f t="shared" si="227"/>
        <v>27749.9</v>
      </c>
      <c r="L710" s="476">
        <f t="shared" si="227"/>
        <v>28750.199999999997</v>
      </c>
      <c r="M710" s="476">
        <f t="shared" si="227"/>
        <v>28750.199999999997</v>
      </c>
      <c r="N710" s="476">
        <f t="shared" si="227"/>
        <v>30849.9</v>
      </c>
      <c r="O710" s="476">
        <f t="shared" si="227"/>
        <v>30900</v>
      </c>
      <c r="P710" s="476">
        <f>SUM(P706:P709)</f>
        <v>31000.1</v>
      </c>
      <c r="Q710" s="476">
        <f>SUM(E710:P710)</f>
        <v>360250.5</v>
      </c>
    </row>
    <row r="711" spans="1:17" x14ac:dyDescent="0.2">
      <c r="A711" s="222">
        <f>A709+1</f>
        <v>11</v>
      </c>
      <c r="C711" s="219" t="s">
        <v>207</v>
      </c>
      <c r="D711" s="731"/>
      <c r="E711" s="222"/>
      <c r="F711" s="288"/>
      <c r="G711" s="469"/>
      <c r="H711" s="288"/>
      <c r="I711" s="293"/>
      <c r="J711" s="288"/>
      <c r="K711" s="288"/>
      <c r="Q711" s="517"/>
    </row>
    <row r="712" spans="1:17" x14ac:dyDescent="0.2">
      <c r="A712" s="222">
        <f>A711+1</f>
        <v>12</v>
      </c>
      <c r="C712" s="219" t="str">
        <f>C706</f>
        <v xml:space="preserve">    First 50 Mcf</v>
      </c>
      <c r="D712" s="782">
        <f>Input!C31</f>
        <v>2.2665999999999999</v>
      </c>
      <c r="E712" s="427">
        <f t="shared" ref="E712:P712" si="228">ROUND(E706*$D$712,2)</f>
        <v>3873.39</v>
      </c>
      <c r="F712" s="427">
        <f t="shared" si="228"/>
        <v>3856.17</v>
      </c>
      <c r="G712" s="427">
        <f t="shared" si="228"/>
        <v>3968.36</v>
      </c>
      <c r="H712" s="427">
        <f t="shared" si="228"/>
        <v>3430.05</v>
      </c>
      <c r="I712" s="427">
        <f t="shared" si="228"/>
        <v>2653.51</v>
      </c>
      <c r="J712" s="427">
        <f t="shared" si="228"/>
        <v>2077.79</v>
      </c>
      <c r="K712" s="427">
        <f t="shared" si="228"/>
        <v>1779.96</v>
      </c>
      <c r="L712" s="427">
        <f t="shared" si="228"/>
        <v>1999.59</v>
      </c>
      <c r="M712" s="427">
        <f t="shared" si="228"/>
        <v>2130.83</v>
      </c>
      <c r="N712" s="427">
        <f t="shared" si="228"/>
        <v>2379.9299999999998</v>
      </c>
      <c r="O712" s="427">
        <f t="shared" si="228"/>
        <v>3251.21</v>
      </c>
      <c r="P712" s="427">
        <f t="shared" si="228"/>
        <v>3709.29</v>
      </c>
      <c r="Q712" s="427">
        <f>SUM(E712:P712)</f>
        <v>35110.080000000002</v>
      </c>
    </row>
    <row r="713" spans="1:17" x14ac:dyDescent="0.2">
      <c r="A713" s="222">
        <f>A712+1</f>
        <v>13</v>
      </c>
      <c r="C713" s="219" t="str">
        <f>C707</f>
        <v xml:space="preserve">    Next 350 Mcf</v>
      </c>
      <c r="D713" s="782">
        <f>Input!D31</f>
        <v>1.752</v>
      </c>
      <c r="E713" s="472">
        <f t="shared" ref="E713:P713" si="229">ROUND(E707*$D$713,2)</f>
        <v>12524.87</v>
      </c>
      <c r="F713" s="472">
        <f t="shared" si="229"/>
        <v>10523.91</v>
      </c>
      <c r="G713" s="472">
        <f t="shared" si="229"/>
        <v>10786.01</v>
      </c>
      <c r="H713" s="472">
        <f t="shared" si="229"/>
        <v>10889.56</v>
      </c>
      <c r="I713" s="472">
        <f t="shared" si="229"/>
        <v>8019.25</v>
      </c>
      <c r="J713" s="472">
        <f t="shared" si="229"/>
        <v>7203.35</v>
      </c>
      <c r="K713" s="472">
        <f t="shared" si="229"/>
        <v>7512.05</v>
      </c>
      <c r="L713" s="472">
        <f t="shared" si="229"/>
        <v>8215.48</v>
      </c>
      <c r="M713" s="472">
        <f t="shared" si="229"/>
        <v>7692.16</v>
      </c>
      <c r="N713" s="472">
        <f t="shared" si="229"/>
        <v>8624.2199999999993</v>
      </c>
      <c r="O713" s="472">
        <f t="shared" si="229"/>
        <v>9755.14</v>
      </c>
      <c r="P713" s="472">
        <f t="shared" si="229"/>
        <v>10375.17</v>
      </c>
      <c r="Q713" s="473">
        <f>SUM(E713:P713)</f>
        <v>112121.17</v>
      </c>
    </row>
    <row r="714" spans="1:17" x14ac:dyDescent="0.2">
      <c r="A714" s="222">
        <f>A713+1</f>
        <v>14</v>
      </c>
      <c r="C714" s="219" t="str">
        <f>C708</f>
        <v xml:space="preserve">    Next 600 Mcf</v>
      </c>
      <c r="D714" s="782">
        <f>Input!E31</f>
        <v>1.6658999999999999</v>
      </c>
      <c r="E714" s="472">
        <f t="shared" ref="E714:P714" si="230">ROUND(E708*$D$714,2)</f>
        <v>8425.2900000000009</v>
      </c>
      <c r="F714" s="472">
        <f t="shared" si="230"/>
        <v>8429.6200000000008</v>
      </c>
      <c r="G714" s="472">
        <f t="shared" si="230"/>
        <v>8413.9599999999991</v>
      </c>
      <c r="H714" s="472">
        <f t="shared" si="230"/>
        <v>7792.91</v>
      </c>
      <c r="I714" s="472">
        <f t="shared" si="230"/>
        <v>7739.27</v>
      </c>
      <c r="J714" s="472">
        <f t="shared" si="230"/>
        <v>7304.97</v>
      </c>
      <c r="K714" s="472">
        <f t="shared" si="230"/>
        <v>7930.52</v>
      </c>
      <c r="L714" s="472">
        <f t="shared" si="230"/>
        <v>8699.66</v>
      </c>
      <c r="M714" s="472">
        <f t="shared" si="230"/>
        <v>8944.2199999999993</v>
      </c>
      <c r="N714" s="472">
        <f t="shared" si="230"/>
        <v>9611.74</v>
      </c>
      <c r="O714" s="472">
        <f t="shared" si="230"/>
        <v>7841.72</v>
      </c>
      <c r="P714" s="472">
        <f t="shared" si="230"/>
        <v>7718.78</v>
      </c>
      <c r="Q714" s="473">
        <f>SUM(E714:P714)</f>
        <v>98852.660000000018</v>
      </c>
    </row>
    <row r="715" spans="1:17" x14ac:dyDescent="0.2">
      <c r="A715" s="222">
        <f>A714+1</f>
        <v>15</v>
      </c>
      <c r="C715" s="219" t="str">
        <f>C709</f>
        <v xml:space="preserve">    Over 1,000 Mcf</v>
      </c>
      <c r="D715" s="782">
        <f>Input!F31</f>
        <v>1.5164</v>
      </c>
      <c r="E715" s="521">
        <f t="shared" ref="E715:P715" si="231">ROUND(E709*$D$715,2)</f>
        <v>28940.34</v>
      </c>
      <c r="F715" s="521">
        <f t="shared" si="231"/>
        <v>29162.95</v>
      </c>
      <c r="G715" s="521">
        <f t="shared" si="231"/>
        <v>27207.4</v>
      </c>
      <c r="H715" s="521">
        <f t="shared" si="231"/>
        <v>26375.05</v>
      </c>
      <c r="I715" s="521">
        <f t="shared" si="231"/>
        <v>27911.919999999998</v>
      </c>
      <c r="J715" s="521">
        <f t="shared" si="231"/>
        <v>27805.77</v>
      </c>
      <c r="K715" s="521">
        <f t="shared" si="231"/>
        <v>27168.43</v>
      </c>
      <c r="L715" s="521">
        <f t="shared" si="231"/>
        <v>27229.39</v>
      </c>
      <c r="M715" s="521">
        <f t="shared" si="231"/>
        <v>27371.93</v>
      </c>
      <c r="N715" s="521">
        <f t="shared" si="231"/>
        <v>28974.92</v>
      </c>
      <c r="O715" s="521">
        <f t="shared" si="231"/>
        <v>29100.32</v>
      </c>
      <c r="P715" s="521">
        <f t="shared" si="231"/>
        <v>28520.91</v>
      </c>
      <c r="Q715" s="522">
        <f>SUM(E715:P715)</f>
        <v>335769.32999999996</v>
      </c>
    </row>
    <row r="716" spans="1:17" x14ac:dyDescent="0.2">
      <c r="D716" s="731"/>
      <c r="E716" s="427">
        <f t="shared" ref="E716:O716" si="232">SUM(E712:E715)</f>
        <v>53763.89</v>
      </c>
      <c r="F716" s="427">
        <f t="shared" si="232"/>
        <v>51972.65</v>
      </c>
      <c r="G716" s="427">
        <f t="shared" si="232"/>
        <v>50375.73</v>
      </c>
      <c r="H716" s="427">
        <f t="shared" si="232"/>
        <v>48487.57</v>
      </c>
      <c r="I716" s="427">
        <f t="shared" si="232"/>
        <v>46323.95</v>
      </c>
      <c r="J716" s="427">
        <f t="shared" si="232"/>
        <v>44391.880000000005</v>
      </c>
      <c r="K716" s="427">
        <f t="shared" si="232"/>
        <v>44390.96</v>
      </c>
      <c r="L716" s="427">
        <f t="shared" si="232"/>
        <v>46144.119999999995</v>
      </c>
      <c r="M716" s="427">
        <f t="shared" si="232"/>
        <v>46139.14</v>
      </c>
      <c r="N716" s="427">
        <f t="shared" si="232"/>
        <v>49590.81</v>
      </c>
      <c r="O716" s="427">
        <f t="shared" si="232"/>
        <v>49948.39</v>
      </c>
      <c r="P716" s="427">
        <f>SUM(P712:P715)</f>
        <v>50324.149999999994</v>
      </c>
      <c r="Q716" s="427">
        <f>SUM(E716:P716)</f>
        <v>581853.24000000011</v>
      </c>
    </row>
    <row r="717" spans="1:17" x14ac:dyDescent="0.2">
      <c r="D717" s="731"/>
      <c r="E717" s="466"/>
      <c r="F717" s="466"/>
      <c r="G717" s="466"/>
      <c r="H717" s="466"/>
      <c r="I717" s="466"/>
      <c r="J717" s="466"/>
      <c r="K717" s="466"/>
      <c r="L717" s="466"/>
      <c r="M717" s="466"/>
      <c r="N717" s="466"/>
      <c r="O717" s="466"/>
      <c r="P717" s="466"/>
      <c r="Q717" s="466"/>
    </row>
    <row r="718" spans="1:17" x14ac:dyDescent="0.2">
      <c r="A718" s="222">
        <f>A715+1</f>
        <v>16</v>
      </c>
      <c r="C718" s="219" t="s">
        <v>204</v>
      </c>
      <c r="D718" s="731"/>
      <c r="E718" s="427">
        <f t="shared" ref="E718:O718" si="233">E702+E703+E716</f>
        <v>55721.25</v>
      </c>
      <c r="F718" s="427">
        <f t="shared" si="233"/>
        <v>53930.01</v>
      </c>
      <c r="G718" s="427">
        <f t="shared" si="233"/>
        <v>52333.090000000004</v>
      </c>
      <c r="H718" s="427">
        <f t="shared" si="233"/>
        <v>50444.93</v>
      </c>
      <c r="I718" s="427">
        <f t="shared" si="233"/>
        <v>48281.31</v>
      </c>
      <c r="J718" s="427">
        <f t="shared" si="233"/>
        <v>46394.76</v>
      </c>
      <c r="K718" s="427">
        <f t="shared" si="233"/>
        <v>46393.84</v>
      </c>
      <c r="L718" s="427">
        <f t="shared" si="233"/>
        <v>48192.52</v>
      </c>
      <c r="M718" s="427">
        <f t="shared" si="233"/>
        <v>48142.02</v>
      </c>
      <c r="N718" s="427">
        <f t="shared" si="233"/>
        <v>51593.689999999995</v>
      </c>
      <c r="O718" s="427">
        <f t="shared" si="233"/>
        <v>51951.27</v>
      </c>
      <c r="P718" s="427">
        <f>P702+P703+P716</f>
        <v>52327.029999999992</v>
      </c>
      <c r="Q718" s="427">
        <f>SUM(E718:P718)</f>
        <v>605705.72</v>
      </c>
    </row>
    <row r="719" spans="1:17" x14ac:dyDescent="0.2">
      <c r="D719" s="731"/>
      <c r="E719" s="466"/>
      <c r="F719" s="466"/>
      <c r="G719" s="466"/>
      <c r="H719" s="466"/>
      <c r="I719" s="466"/>
      <c r="J719" s="466"/>
      <c r="K719" s="466"/>
      <c r="L719" s="466"/>
      <c r="M719" s="466"/>
      <c r="N719" s="466"/>
      <c r="O719" s="466"/>
      <c r="P719" s="466"/>
      <c r="Q719" s="466"/>
    </row>
    <row r="720" spans="1:17" x14ac:dyDescent="0.2">
      <c r="A720" s="222">
        <f>A718+1</f>
        <v>17</v>
      </c>
      <c r="C720" s="219" t="s">
        <v>208</v>
      </c>
      <c r="D720" s="782">
        <f>EGC</f>
        <v>2.2090999999999998</v>
      </c>
      <c r="E720" s="427">
        <f t="shared" ref="E720:O720" si="234">ROUND(E710*$D$720,2)</f>
        <v>72900.740000000005</v>
      </c>
      <c r="F720" s="427">
        <f t="shared" si="234"/>
        <v>70690.98</v>
      </c>
      <c r="G720" s="427">
        <f t="shared" si="234"/>
        <v>68261.19</v>
      </c>
      <c r="H720" s="427">
        <f t="shared" si="234"/>
        <v>65830.960000000006</v>
      </c>
      <c r="I720" s="427">
        <f t="shared" si="234"/>
        <v>63622.74</v>
      </c>
      <c r="J720" s="427">
        <f t="shared" si="234"/>
        <v>61302.3</v>
      </c>
      <c r="K720" s="427">
        <f t="shared" si="234"/>
        <v>61302.3</v>
      </c>
      <c r="L720" s="427">
        <f t="shared" si="234"/>
        <v>63512.07</v>
      </c>
      <c r="M720" s="427">
        <f t="shared" si="234"/>
        <v>63512.07</v>
      </c>
      <c r="N720" s="427">
        <f t="shared" si="234"/>
        <v>68150.509999999995</v>
      </c>
      <c r="O720" s="427">
        <f t="shared" si="234"/>
        <v>68261.19</v>
      </c>
      <c r="P720" s="427">
        <f>ROUND(P710*$D$720,2)</f>
        <v>68482.320000000007</v>
      </c>
      <c r="Q720" s="427">
        <f>SUM(E720:P720)</f>
        <v>795829.36999999988</v>
      </c>
    </row>
    <row r="721" spans="1:17" x14ac:dyDescent="0.2">
      <c r="D721" s="731"/>
      <c r="E721" s="466"/>
      <c r="F721" s="466"/>
      <c r="G721" s="466"/>
      <c r="H721" s="466"/>
      <c r="I721" s="466"/>
      <c r="J721" s="466"/>
      <c r="K721" s="466"/>
      <c r="L721" s="466"/>
      <c r="M721" s="466"/>
      <c r="N721" s="466"/>
      <c r="O721" s="466"/>
      <c r="P721" s="466"/>
      <c r="Q721" s="466"/>
    </row>
    <row r="722" spans="1:17" x14ac:dyDescent="0.2">
      <c r="A722" s="446">
        <f>A720+1</f>
        <v>18</v>
      </c>
      <c r="B722" s="447"/>
      <c r="C722" s="447" t="s">
        <v>206</v>
      </c>
      <c r="D722" s="732"/>
      <c r="E722" s="450">
        <f t="shared" ref="E722:O722" si="235">E718+E720</f>
        <v>128621.99</v>
      </c>
      <c r="F722" s="450">
        <f t="shared" si="235"/>
        <v>124620.98999999999</v>
      </c>
      <c r="G722" s="450">
        <f t="shared" si="235"/>
        <v>120594.28</v>
      </c>
      <c r="H722" s="450">
        <f t="shared" si="235"/>
        <v>116275.89000000001</v>
      </c>
      <c r="I722" s="450">
        <f t="shared" si="235"/>
        <v>111904.04999999999</v>
      </c>
      <c r="J722" s="450">
        <f t="shared" si="235"/>
        <v>107697.06</v>
      </c>
      <c r="K722" s="450">
        <f t="shared" si="235"/>
        <v>107696.14</v>
      </c>
      <c r="L722" s="450">
        <f t="shared" si="235"/>
        <v>111704.59</v>
      </c>
      <c r="M722" s="450">
        <f t="shared" si="235"/>
        <v>111654.09</v>
      </c>
      <c r="N722" s="450">
        <f t="shared" si="235"/>
        <v>119744.19999999998</v>
      </c>
      <c r="O722" s="450">
        <f t="shared" si="235"/>
        <v>120212.45999999999</v>
      </c>
      <c r="P722" s="450">
        <f>P718+P720</f>
        <v>120809.35</v>
      </c>
      <c r="Q722" s="450">
        <f>SUM(E722:P722)</f>
        <v>1401535.09</v>
      </c>
    </row>
    <row r="723" spans="1:17" x14ac:dyDescent="0.2">
      <c r="D723" s="733"/>
      <c r="E723" s="466"/>
      <c r="F723" s="466"/>
      <c r="G723" s="466"/>
      <c r="H723" s="466"/>
      <c r="I723" s="466"/>
      <c r="J723" s="466"/>
      <c r="K723" s="466"/>
      <c r="L723" s="459"/>
      <c r="M723" s="459"/>
      <c r="N723" s="459"/>
      <c r="O723" s="459"/>
      <c r="P723" s="459"/>
      <c r="Q723" s="484"/>
    </row>
    <row r="724" spans="1:17" x14ac:dyDescent="0.2">
      <c r="A724" s="222">
        <f>A722+1</f>
        <v>19</v>
      </c>
      <c r="C724" s="219" t="s">
        <v>196</v>
      </c>
      <c r="D724" s="733"/>
      <c r="E724" s="466"/>
      <c r="F724" s="466"/>
      <c r="G724" s="466"/>
      <c r="H724" s="466"/>
      <c r="I724" s="466"/>
      <c r="J724" s="466"/>
      <c r="K724" s="466"/>
      <c r="L724" s="459"/>
      <c r="M724" s="459"/>
      <c r="N724" s="459"/>
      <c r="O724" s="459"/>
      <c r="P724" s="459"/>
      <c r="Q724" s="484"/>
    </row>
    <row r="725" spans="1:17" x14ac:dyDescent="0.2">
      <c r="A725" s="222">
        <f>A724+1</f>
        <v>20</v>
      </c>
      <c r="C725" s="240" t="s">
        <v>214</v>
      </c>
      <c r="D725" s="782">
        <f>Input!N31</f>
        <v>1.6E-2</v>
      </c>
      <c r="E725" s="427">
        <f t="shared" ref="E725:O725" si="236">ROUND(E710*$D$725,2)</f>
        <v>528</v>
      </c>
      <c r="F725" s="427">
        <f t="shared" si="236"/>
        <v>512</v>
      </c>
      <c r="G725" s="427">
        <f t="shared" si="236"/>
        <v>494.4</v>
      </c>
      <c r="H725" s="427">
        <f t="shared" si="236"/>
        <v>476.8</v>
      </c>
      <c r="I725" s="427">
        <f t="shared" si="236"/>
        <v>460.8</v>
      </c>
      <c r="J725" s="427">
        <f t="shared" si="236"/>
        <v>444</v>
      </c>
      <c r="K725" s="427">
        <f t="shared" si="236"/>
        <v>444</v>
      </c>
      <c r="L725" s="427">
        <f t="shared" si="236"/>
        <v>460</v>
      </c>
      <c r="M725" s="427">
        <f t="shared" si="236"/>
        <v>460</v>
      </c>
      <c r="N725" s="427">
        <f t="shared" si="236"/>
        <v>493.6</v>
      </c>
      <c r="O725" s="427">
        <f t="shared" si="236"/>
        <v>494.4</v>
      </c>
      <c r="P725" s="427">
        <f>ROUND(P710*$D$725,2)</f>
        <v>496</v>
      </c>
      <c r="Q725" s="427">
        <f>SUM(E725:P725)</f>
        <v>5764</v>
      </c>
    </row>
    <row r="726" spans="1:17" x14ac:dyDescent="0.2">
      <c r="E726" s="459"/>
      <c r="F726" s="459"/>
      <c r="G726" s="459"/>
      <c r="H726" s="459"/>
      <c r="I726" s="459"/>
      <c r="J726" s="459"/>
      <c r="K726" s="459"/>
      <c r="L726" s="459"/>
      <c r="M726" s="459"/>
      <c r="N726" s="459"/>
      <c r="O726" s="459"/>
      <c r="P726" s="459"/>
      <c r="Q726" s="459"/>
    </row>
    <row r="727" spans="1:17" ht="10.8" thickBot="1" x14ac:dyDescent="0.25">
      <c r="A727" s="488">
        <f>A725+1</f>
        <v>21</v>
      </c>
      <c r="B727" s="489"/>
      <c r="C727" s="489" t="s">
        <v>205</v>
      </c>
      <c r="D727" s="490"/>
      <c r="E727" s="492">
        <f>E722+E725</f>
        <v>129149.99</v>
      </c>
      <c r="F727" s="492">
        <f t="shared" ref="F727:P727" si="237">F722+F725</f>
        <v>125132.98999999999</v>
      </c>
      <c r="G727" s="492">
        <f t="shared" si="237"/>
        <v>121088.68</v>
      </c>
      <c r="H727" s="492">
        <f t="shared" si="237"/>
        <v>116752.69000000002</v>
      </c>
      <c r="I727" s="492">
        <f t="shared" si="237"/>
        <v>112364.84999999999</v>
      </c>
      <c r="J727" s="492">
        <f t="shared" si="237"/>
        <v>108141.06</v>
      </c>
      <c r="K727" s="492">
        <f t="shared" si="237"/>
        <v>108140.14</v>
      </c>
      <c r="L727" s="492">
        <f t="shared" si="237"/>
        <v>112164.59</v>
      </c>
      <c r="M727" s="492">
        <f t="shared" si="237"/>
        <v>112114.09</v>
      </c>
      <c r="N727" s="492">
        <f t="shared" si="237"/>
        <v>120237.79999999999</v>
      </c>
      <c r="O727" s="492">
        <f t="shared" si="237"/>
        <v>120706.85999999999</v>
      </c>
      <c r="P727" s="492">
        <f t="shared" si="237"/>
        <v>121305.35</v>
      </c>
      <c r="Q727" s="492">
        <f>SUM(E727:P727)</f>
        <v>1407299.0899999999</v>
      </c>
    </row>
    <row r="728" spans="1:17" ht="10.8" thickTop="1" x14ac:dyDescent="0.2"/>
    <row r="730" spans="1:17" x14ac:dyDescent="0.2">
      <c r="A730" s="222" t="str">
        <f>$A$270</f>
        <v>[1] Reflects Normalized Volumes.</v>
      </c>
    </row>
    <row r="731" spans="1:17" x14ac:dyDescent="0.2">
      <c r="A731" s="222" t="str">
        <f>"[2] Reflects Gas Cost Adjustment Rate"&amp;CONCATENATE(" as of ",EGCDATE)&amp;"."</f>
        <v>[2] Reflects Gas Cost Adjustment Rate as of March 1, 2016.</v>
      </c>
    </row>
    <row r="733" spans="1:17" x14ac:dyDescent="0.2">
      <c r="A733" s="993" t="str">
        <f>CONAME</f>
        <v>Columbia Gas of Kentucky, Inc.</v>
      </c>
      <c r="B733" s="993"/>
      <c r="C733" s="993"/>
      <c r="D733" s="993"/>
      <c r="E733" s="993"/>
      <c r="F733" s="993"/>
      <c r="G733" s="993"/>
      <c r="H733" s="993"/>
      <c r="I733" s="993"/>
      <c r="J733" s="993"/>
      <c r="K733" s="993"/>
      <c r="L733" s="993"/>
      <c r="M733" s="993"/>
      <c r="N733" s="993"/>
      <c r="O733" s="993"/>
      <c r="P733" s="993"/>
      <c r="Q733" s="993"/>
    </row>
    <row r="734" spans="1:17" x14ac:dyDescent="0.2">
      <c r="A734" s="981" t="str">
        <f>case</f>
        <v>Case No. 2016-00162</v>
      </c>
      <c r="B734" s="981"/>
      <c r="C734" s="981"/>
      <c r="D734" s="981"/>
      <c r="E734" s="981"/>
      <c r="F734" s="981"/>
      <c r="G734" s="981"/>
      <c r="H734" s="981"/>
      <c r="I734" s="981"/>
      <c r="J734" s="981"/>
      <c r="K734" s="981"/>
      <c r="L734" s="981"/>
      <c r="M734" s="981"/>
      <c r="N734" s="981"/>
      <c r="O734" s="981"/>
      <c r="P734" s="981"/>
      <c r="Q734" s="981"/>
    </row>
    <row r="735" spans="1:17" x14ac:dyDescent="0.2">
      <c r="A735" s="994" t="s">
        <v>494</v>
      </c>
      <c r="B735" s="994"/>
      <c r="C735" s="994"/>
      <c r="D735" s="994"/>
      <c r="E735" s="994"/>
      <c r="F735" s="994"/>
      <c r="G735" s="994"/>
      <c r="H735" s="994"/>
      <c r="I735" s="994"/>
      <c r="J735" s="994"/>
      <c r="K735" s="994"/>
      <c r="L735" s="994"/>
      <c r="M735" s="994"/>
      <c r="N735" s="994"/>
      <c r="O735" s="994"/>
      <c r="P735" s="994"/>
      <c r="Q735" s="994"/>
    </row>
    <row r="736" spans="1:17" x14ac:dyDescent="0.2">
      <c r="A736" s="993" t="str">
        <f>TYDESC</f>
        <v>For the 12 Months Ended December 31, 2017</v>
      </c>
      <c r="B736" s="993"/>
      <c r="C736" s="993"/>
      <c r="D736" s="993"/>
      <c r="E736" s="993"/>
      <c r="F736" s="993"/>
      <c r="G736" s="993"/>
      <c r="H736" s="993"/>
      <c r="I736" s="993"/>
      <c r="J736" s="993"/>
      <c r="K736" s="993"/>
      <c r="L736" s="993"/>
      <c r="M736" s="993"/>
      <c r="N736" s="993"/>
      <c r="O736" s="993"/>
      <c r="P736" s="993"/>
      <c r="Q736" s="993"/>
    </row>
    <row r="737" spans="1:17" x14ac:dyDescent="0.2">
      <c r="A737" s="991" t="s">
        <v>39</v>
      </c>
      <c r="B737" s="991"/>
      <c r="C737" s="991"/>
      <c r="D737" s="991"/>
      <c r="E737" s="991"/>
      <c r="F737" s="991"/>
      <c r="G737" s="991"/>
      <c r="H737" s="991"/>
      <c r="I737" s="991"/>
      <c r="J737" s="991"/>
      <c r="K737" s="991"/>
      <c r="L737" s="991"/>
      <c r="M737" s="991"/>
      <c r="N737" s="991"/>
      <c r="O737" s="991"/>
      <c r="P737" s="991"/>
      <c r="Q737" s="991"/>
    </row>
    <row r="738" spans="1:17" x14ac:dyDescent="0.2">
      <c r="A738" s="262" t="str">
        <f>$A$52</f>
        <v>Data: __ Base Period _X_ Forecasted Period</v>
      </c>
    </row>
    <row r="739" spans="1:17" x14ac:dyDescent="0.2">
      <c r="A739" s="262" t="str">
        <f>$A$53</f>
        <v>Type of Filing: X Original _ Update _ Revised</v>
      </c>
      <c r="Q739" s="413" t="str">
        <f>$Q$53</f>
        <v>Schedule M-2.2</v>
      </c>
    </row>
    <row r="740" spans="1:17" x14ac:dyDescent="0.2">
      <c r="A740" s="262" t="str">
        <f>$A$54</f>
        <v>Work Paper Reference No(s):</v>
      </c>
      <c r="Q740" s="413" t="s">
        <v>504</v>
      </c>
    </row>
    <row r="741" spans="1:17" x14ac:dyDescent="0.2">
      <c r="A741" s="414" t="str">
        <f>$A$55</f>
        <v>12 Months Forecasted</v>
      </c>
      <c r="Q741" s="413" t="str">
        <f>Witness</f>
        <v>Witness:  M. J. Bell</v>
      </c>
    </row>
    <row r="742" spans="1:17" x14ac:dyDescent="0.2">
      <c r="A742" s="992" t="s">
        <v>194</v>
      </c>
      <c r="B742" s="992"/>
      <c r="C742" s="992"/>
      <c r="D742" s="992"/>
      <c r="E742" s="992"/>
      <c r="F742" s="992"/>
      <c r="G742" s="992"/>
      <c r="H742" s="992"/>
      <c r="I742" s="992"/>
      <c r="J742" s="992"/>
      <c r="K742" s="992"/>
      <c r="L742" s="992"/>
      <c r="M742" s="992"/>
      <c r="N742" s="992"/>
      <c r="O742" s="992"/>
      <c r="P742" s="992"/>
      <c r="Q742" s="992"/>
    </row>
    <row r="743" spans="1:17" x14ac:dyDescent="0.2">
      <c r="A743" s="433"/>
      <c r="B743" s="301"/>
      <c r="C743" s="301"/>
      <c r="D743" s="300"/>
      <c r="E743" s="301"/>
      <c r="F743" s="415"/>
      <c r="G743" s="435"/>
      <c r="H743" s="415"/>
      <c r="I743" s="436"/>
      <c r="J743" s="415"/>
      <c r="K743" s="415"/>
      <c r="L743" s="415"/>
      <c r="M743" s="415"/>
      <c r="N743" s="415"/>
      <c r="O743" s="415"/>
      <c r="P743" s="415"/>
      <c r="Q743" s="301"/>
    </row>
    <row r="744" spans="1:17" x14ac:dyDescent="0.2">
      <c r="A744" s="410" t="s">
        <v>1</v>
      </c>
      <c r="B744" s="224" t="s">
        <v>0</v>
      </c>
      <c r="C744" s="224" t="s">
        <v>41</v>
      </c>
      <c r="D744" s="416" t="s">
        <v>47</v>
      </c>
      <c r="E744" s="224"/>
      <c r="F744" s="417"/>
      <c r="G744" s="418"/>
      <c r="H744" s="417"/>
      <c r="I744" s="419"/>
      <c r="J744" s="417"/>
      <c r="K744" s="417"/>
      <c r="L744" s="417"/>
      <c r="M744" s="417"/>
      <c r="N744" s="417"/>
      <c r="O744" s="417"/>
      <c r="P744" s="417"/>
      <c r="Q744" s="229"/>
    </row>
    <row r="745" spans="1:17" x14ac:dyDescent="0.2">
      <c r="A745" s="281" t="s">
        <v>3</v>
      </c>
      <c r="B745" s="226" t="s">
        <v>40</v>
      </c>
      <c r="C745" s="226" t="s">
        <v>4</v>
      </c>
      <c r="D745" s="420" t="s">
        <v>48</v>
      </c>
      <c r="E745" s="421" t="str">
        <f>B!$D$11</f>
        <v>Jan-17</v>
      </c>
      <c r="F745" s="421" t="str">
        <f>B!$E$11</f>
        <v>Feb-17</v>
      </c>
      <c r="G745" s="421" t="str">
        <f>B!$F$11</f>
        <v>Mar-17</v>
      </c>
      <c r="H745" s="421" t="str">
        <f>B!$G$11</f>
        <v>Apr-17</v>
      </c>
      <c r="I745" s="421" t="str">
        <f>B!$H$11</f>
        <v>May-17</v>
      </c>
      <c r="J745" s="421" t="str">
        <f>B!$I$11</f>
        <v>Jun-17</v>
      </c>
      <c r="K745" s="421" t="str">
        <f>B!$J$11</f>
        <v>Jul-17</v>
      </c>
      <c r="L745" s="421" t="str">
        <f>B!$K$11</f>
        <v>Aug-17</v>
      </c>
      <c r="M745" s="421" t="str">
        <f>B!$L$11</f>
        <v>Sep-17</v>
      </c>
      <c r="N745" s="421" t="str">
        <f>B!$M$11</f>
        <v>Oct-17</v>
      </c>
      <c r="O745" s="421" t="str">
        <f>B!$N$11</f>
        <v>Nov-17</v>
      </c>
      <c r="P745" s="421" t="str">
        <f>B!$O$11</f>
        <v>Dec-17</v>
      </c>
      <c r="Q745" s="422" t="s">
        <v>9</v>
      </c>
    </row>
    <row r="746" spans="1:17" x14ac:dyDescent="0.2">
      <c r="A746" s="410"/>
      <c r="B746" s="229" t="s">
        <v>42</v>
      </c>
      <c r="C746" s="229" t="s">
        <v>43</v>
      </c>
      <c r="D746" s="423" t="s">
        <v>45</v>
      </c>
      <c r="E746" s="424" t="s">
        <v>46</v>
      </c>
      <c r="F746" s="424" t="s">
        <v>49</v>
      </c>
      <c r="G746" s="424" t="s">
        <v>50</v>
      </c>
      <c r="H746" s="424" t="s">
        <v>51</v>
      </c>
      <c r="I746" s="424" t="s">
        <v>52</v>
      </c>
      <c r="J746" s="424" t="s">
        <v>53</v>
      </c>
      <c r="K746" s="425" t="s">
        <v>54</v>
      </c>
      <c r="L746" s="425" t="s">
        <v>55</v>
      </c>
      <c r="M746" s="425" t="s">
        <v>56</v>
      </c>
      <c r="N746" s="425" t="s">
        <v>57</v>
      </c>
      <c r="O746" s="425" t="s">
        <v>58</v>
      </c>
      <c r="P746" s="425" t="s">
        <v>59</v>
      </c>
      <c r="Q746" s="425" t="s">
        <v>203</v>
      </c>
    </row>
    <row r="747" spans="1:17" x14ac:dyDescent="0.2">
      <c r="E747" s="229"/>
      <c r="F747" s="425"/>
      <c r="G747" s="437"/>
      <c r="H747" s="425"/>
      <c r="I747" s="424"/>
      <c r="J747" s="425"/>
      <c r="K747" s="425"/>
      <c r="L747" s="425"/>
      <c r="M747" s="425"/>
      <c r="N747" s="425"/>
      <c r="O747" s="425"/>
      <c r="P747" s="425"/>
      <c r="Q747" s="229"/>
    </row>
    <row r="748" spans="1:17" x14ac:dyDescent="0.2">
      <c r="A748" s="222">
        <v>1</v>
      </c>
      <c r="B748" s="219" t="str">
        <f>B192</f>
        <v xml:space="preserve">IS </v>
      </c>
      <c r="C748" s="219" t="str">
        <f>C192</f>
        <v>Interruptible Service - Industrial</v>
      </c>
    </row>
    <row r="750" spans="1:17" x14ac:dyDescent="0.2">
      <c r="A750" s="222">
        <v>2</v>
      </c>
      <c r="C750" s="223" t="s">
        <v>112</v>
      </c>
    </row>
    <row r="751" spans="1:17" x14ac:dyDescent="0.2">
      <c r="E751" s="222"/>
      <c r="F751" s="288"/>
      <c r="G751" s="469"/>
      <c r="H751" s="288"/>
      <c r="I751" s="293"/>
      <c r="J751" s="288"/>
      <c r="K751" s="288"/>
    </row>
    <row r="752" spans="1:17" x14ac:dyDescent="0.2">
      <c r="A752" s="222">
        <v>3</v>
      </c>
      <c r="C752" s="219" t="s">
        <v>202</v>
      </c>
      <c r="E752" s="286">
        <f>B!D93</f>
        <v>0</v>
      </c>
      <c r="F752" s="286">
        <f>B!E93</f>
        <v>0</v>
      </c>
      <c r="G752" s="286">
        <f>B!F93</f>
        <v>0</v>
      </c>
      <c r="H752" s="286">
        <f>B!G93</f>
        <v>0</v>
      </c>
      <c r="I752" s="286">
        <f>B!H93</f>
        <v>0</v>
      </c>
      <c r="J752" s="286">
        <f>B!I93</f>
        <v>0</v>
      </c>
      <c r="K752" s="286">
        <f>B!J93</f>
        <v>0</v>
      </c>
      <c r="L752" s="286">
        <f>B!K93</f>
        <v>0</v>
      </c>
      <c r="M752" s="286">
        <f>B!L93</f>
        <v>0</v>
      </c>
      <c r="N752" s="286">
        <f>B!M93</f>
        <v>0</v>
      </c>
      <c r="O752" s="286">
        <f>B!N93</f>
        <v>0</v>
      </c>
      <c r="P752" s="286">
        <f>B!O93</f>
        <v>0</v>
      </c>
      <c r="Q752" s="240">
        <f>SUM(E752:P752)</f>
        <v>0</v>
      </c>
    </row>
    <row r="753" spans="1:17" x14ac:dyDescent="0.2">
      <c r="A753" s="222">
        <v>4</v>
      </c>
      <c r="C753" s="219" t="s">
        <v>210</v>
      </c>
      <c r="D753" s="781">
        <f>Input!H36</f>
        <v>1007.05</v>
      </c>
      <c r="E753" s="427">
        <f t="shared" ref="E753:P753" si="238">ROUND(E752*$D$753,2)</f>
        <v>0</v>
      </c>
      <c r="F753" s="427">
        <f t="shared" si="238"/>
        <v>0</v>
      </c>
      <c r="G753" s="427">
        <f t="shared" si="238"/>
        <v>0</v>
      </c>
      <c r="H753" s="427">
        <f t="shared" si="238"/>
        <v>0</v>
      </c>
      <c r="I753" s="427">
        <f t="shared" si="238"/>
        <v>0</v>
      </c>
      <c r="J753" s="427">
        <f t="shared" si="238"/>
        <v>0</v>
      </c>
      <c r="K753" s="427">
        <f t="shared" si="238"/>
        <v>0</v>
      </c>
      <c r="L753" s="427">
        <f t="shared" si="238"/>
        <v>0</v>
      </c>
      <c r="M753" s="427">
        <f t="shared" si="238"/>
        <v>0</v>
      </c>
      <c r="N753" s="427">
        <f t="shared" si="238"/>
        <v>0</v>
      </c>
      <c r="O753" s="427">
        <f t="shared" si="238"/>
        <v>0</v>
      </c>
      <c r="P753" s="427">
        <f t="shared" si="238"/>
        <v>0</v>
      </c>
      <c r="Q753" s="427">
        <f>SUM(E753:P753)</f>
        <v>0</v>
      </c>
    </row>
    <row r="754" spans="1:17" x14ac:dyDescent="0.2">
      <c r="A754" s="222">
        <f>A753+1</f>
        <v>5</v>
      </c>
      <c r="C754" s="219" t="s">
        <v>211</v>
      </c>
      <c r="D754" s="781">
        <f>Input!J36</f>
        <v>449.59</v>
      </c>
      <c r="E754" s="427">
        <f t="shared" ref="E754:P754" si="239">ROUND(E752*$D$754,2)</f>
        <v>0</v>
      </c>
      <c r="F754" s="427">
        <f t="shared" si="239"/>
        <v>0</v>
      </c>
      <c r="G754" s="427">
        <f t="shared" si="239"/>
        <v>0</v>
      </c>
      <c r="H754" s="427">
        <f t="shared" si="239"/>
        <v>0</v>
      </c>
      <c r="I754" s="427">
        <f t="shared" si="239"/>
        <v>0</v>
      </c>
      <c r="J754" s="427">
        <f t="shared" si="239"/>
        <v>0</v>
      </c>
      <c r="K754" s="427">
        <f t="shared" si="239"/>
        <v>0</v>
      </c>
      <c r="L754" s="427">
        <f t="shared" si="239"/>
        <v>0</v>
      </c>
      <c r="M754" s="427">
        <f t="shared" si="239"/>
        <v>0</v>
      </c>
      <c r="N754" s="427">
        <f t="shared" si="239"/>
        <v>0</v>
      </c>
      <c r="O754" s="427">
        <f t="shared" si="239"/>
        <v>0</v>
      </c>
      <c r="P754" s="427">
        <f t="shared" si="239"/>
        <v>0</v>
      </c>
      <c r="Q754" s="427">
        <f>SUM(E754:P754)</f>
        <v>0</v>
      </c>
    </row>
    <row r="755" spans="1:17" x14ac:dyDescent="0.2">
      <c r="D755" s="513"/>
      <c r="E755" s="290"/>
      <c r="G755" s="290"/>
      <c r="I755" s="290"/>
      <c r="Q755" s="290"/>
    </row>
    <row r="756" spans="1:17" x14ac:dyDescent="0.2">
      <c r="A756" s="222">
        <f>A754+1</f>
        <v>6</v>
      </c>
      <c r="C756" s="240" t="s">
        <v>209</v>
      </c>
      <c r="D756" s="286"/>
      <c r="E756" s="523"/>
      <c r="F756" s="523"/>
      <c r="G756" s="523"/>
      <c r="H756" s="523"/>
      <c r="I756" s="523"/>
      <c r="J756" s="523"/>
      <c r="K756" s="523"/>
      <c r="L756" s="523"/>
      <c r="M756" s="523"/>
      <c r="N756" s="523"/>
      <c r="O756" s="523"/>
      <c r="P756" s="523"/>
      <c r="Q756" s="293"/>
    </row>
    <row r="757" spans="1:17" x14ac:dyDescent="0.2">
      <c r="A757" s="222">
        <f>A756+1</f>
        <v>7</v>
      </c>
      <c r="C757" s="240" t="str">
        <f>'C'!B133</f>
        <v xml:space="preserve">    First 30,000 Mcf</v>
      </c>
      <c r="D757" s="286"/>
      <c r="E757" s="293">
        <f>'C'!D133</f>
        <v>0</v>
      </c>
      <c r="F757" s="293">
        <f>'C'!E133</f>
        <v>0</v>
      </c>
      <c r="G757" s="293">
        <f>'C'!F133</f>
        <v>0</v>
      </c>
      <c r="H757" s="293">
        <f>'C'!G133</f>
        <v>0</v>
      </c>
      <c r="I757" s="293">
        <f>'C'!H133</f>
        <v>0</v>
      </c>
      <c r="J757" s="293">
        <f>'C'!I133</f>
        <v>0</v>
      </c>
      <c r="K757" s="293">
        <f>'C'!J133</f>
        <v>0</v>
      </c>
      <c r="L757" s="293">
        <f>'C'!K133</f>
        <v>0</v>
      </c>
      <c r="M757" s="293">
        <f>'C'!L133</f>
        <v>0</v>
      </c>
      <c r="N757" s="293">
        <f>'C'!M133</f>
        <v>0</v>
      </c>
      <c r="O757" s="293">
        <f>'C'!N133</f>
        <v>0</v>
      </c>
      <c r="P757" s="293">
        <f>'C'!O133</f>
        <v>0</v>
      </c>
      <c r="Q757" s="245">
        <f>SUM(E757:P757)</f>
        <v>0</v>
      </c>
    </row>
    <row r="758" spans="1:17" x14ac:dyDescent="0.2">
      <c r="A758" s="222">
        <f>A757+1</f>
        <v>8</v>
      </c>
      <c r="C758" s="240" t="str">
        <f>'C'!B134</f>
        <v xml:space="preserve">    Next 70,000 Mcf</v>
      </c>
      <c r="D758" s="286"/>
      <c r="E758" s="293">
        <f>'C'!D134</f>
        <v>0</v>
      </c>
      <c r="F758" s="293">
        <f>'C'!E134</f>
        <v>0</v>
      </c>
      <c r="G758" s="293">
        <f>'C'!F134</f>
        <v>0</v>
      </c>
      <c r="H758" s="293">
        <f>'C'!G134</f>
        <v>0</v>
      </c>
      <c r="I758" s="293">
        <f>'C'!H134</f>
        <v>0</v>
      </c>
      <c r="J758" s="293">
        <f>'C'!I134</f>
        <v>0</v>
      </c>
      <c r="K758" s="293">
        <f>'C'!J134</f>
        <v>0</v>
      </c>
      <c r="L758" s="293">
        <f>'C'!K134</f>
        <v>0</v>
      </c>
      <c r="M758" s="293">
        <f>'C'!L134</f>
        <v>0</v>
      </c>
      <c r="N758" s="293">
        <f>'C'!M134</f>
        <v>0</v>
      </c>
      <c r="O758" s="293">
        <f>'C'!N134</f>
        <v>0</v>
      </c>
      <c r="P758" s="293">
        <f>'C'!O134</f>
        <v>0</v>
      </c>
      <c r="Q758" s="245">
        <f>SUM(E758:P758)</f>
        <v>0</v>
      </c>
    </row>
    <row r="759" spans="1:17" x14ac:dyDescent="0.2">
      <c r="A759" s="222">
        <f>A758+1</f>
        <v>9</v>
      </c>
      <c r="C759" s="240" t="str">
        <f>'C'!B135</f>
        <v xml:space="preserve">    Over 100,000 Mcf</v>
      </c>
      <c r="D759" s="286"/>
      <c r="E759" s="515">
        <f>'C'!D135</f>
        <v>0</v>
      </c>
      <c r="F759" s="515">
        <f>'C'!E135</f>
        <v>0</v>
      </c>
      <c r="G759" s="515">
        <f>'C'!F135</f>
        <v>0</v>
      </c>
      <c r="H759" s="515">
        <f>'C'!G135</f>
        <v>0</v>
      </c>
      <c r="I759" s="515">
        <f>'C'!H135</f>
        <v>0</v>
      </c>
      <c r="J759" s="515">
        <f>'C'!I135</f>
        <v>0</v>
      </c>
      <c r="K759" s="515">
        <f>'C'!J135</f>
        <v>0</v>
      </c>
      <c r="L759" s="515">
        <f>'C'!K135</f>
        <v>0</v>
      </c>
      <c r="M759" s="515">
        <f>'C'!L135</f>
        <v>0</v>
      </c>
      <c r="N759" s="515">
        <f>'C'!M135</f>
        <v>0</v>
      </c>
      <c r="O759" s="515">
        <f>'C'!N135</f>
        <v>0</v>
      </c>
      <c r="P759" s="515">
        <f>'C'!O135</f>
        <v>0</v>
      </c>
      <c r="Q759" s="464">
        <f>SUM(E759:P759)</f>
        <v>0</v>
      </c>
    </row>
    <row r="760" spans="1:17" x14ac:dyDescent="0.2">
      <c r="C760" s="240"/>
      <c r="D760" s="286"/>
      <c r="E760" s="293">
        <f t="shared" ref="E760:O760" si="240">SUM(E757:E759)</f>
        <v>0</v>
      </c>
      <c r="F760" s="293">
        <f t="shared" si="240"/>
        <v>0</v>
      </c>
      <c r="G760" s="293">
        <f t="shared" si="240"/>
        <v>0</v>
      </c>
      <c r="H760" s="293">
        <f t="shared" si="240"/>
        <v>0</v>
      </c>
      <c r="I760" s="293">
        <f t="shared" si="240"/>
        <v>0</v>
      </c>
      <c r="J760" s="293">
        <f t="shared" si="240"/>
        <v>0</v>
      </c>
      <c r="K760" s="293">
        <f t="shared" si="240"/>
        <v>0</v>
      </c>
      <c r="L760" s="293">
        <f t="shared" si="240"/>
        <v>0</v>
      </c>
      <c r="M760" s="293">
        <f t="shared" si="240"/>
        <v>0</v>
      </c>
      <c r="N760" s="293">
        <f t="shared" si="240"/>
        <v>0</v>
      </c>
      <c r="O760" s="293">
        <f t="shared" si="240"/>
        <v>0</v>
      </c>
      <c r="P760" s="293">
        <f>SUM(P757:P759)</f>
        <v>0</v>
      </c>
      <c r="Q760" s="245">
        <f>SUM(E760:P760)</f>
        <v>0</v>
      </c>
    </row>
    <row r="761" spans="1:17" x14ac:dyDescent="0.2">
      <c r="A761" s="222">
        <f>A759+1</f>
        <v>10</v>
      </c>
      <c r="C761" s="219" t="s">
        <v>207</v>
      </c>
      <c r="D761" s="730"/>
      <c r="E761" s="288"/>
      <c r="F761" s="288"/>
      <c r="G761" s="288"/>
      <c r="H761" s="288"/>
      <c r="I761" s="288"/>
      <c r="J761" s="288"/>
      <c r="K761" s="288"/>
      <c r="L761" s="288"/>
      <c r="M761" s="288"/>
      <c r="N761" s="288"/>
      <c r="O761" s="288"/>
      <c r="P761" s="288"/>
      <c r="Q761" s="290"/>
    </row>
    <row r="762" spans="1:17" x14ac:dyDescent="0.2">
      <c r="A762" s="222">
        <f>A761+1</f>
        <v>11</v>
      </c>
      <c r="C762" s="240" t="str">
        <f>C757</f>
        <v xml:space="preserve">    First 30,000 Mcf</v>
      </c>
      <c r="D762" s="782">
        <f>Input!C36</f>
        <v>0.54430000000000001</v>
      </c>
      <c r="E762" s="427">
        <f t="shared" ref="E762:P762" si="241">ROUND(E757*$D$762,2)</f>
        <v>0</v>
      </c>
      <c r="F762" s="427">
        <f t="shared" si="241"/>
        <v>0</v>
      </c>
      <c r="G762" s="427">
        <f t="shared" si="241"/>
        <v>0</v>
      </c>
      <c r="H762" s="427">
        <f t="shared" si="241"/>
        <v>0</v>
      </c>
      <c r="I762" s="427">
        <f t="shared" si="241"/>
        <v>0</v>
      </c>
      <c r="J762" s="427">
        <f t="shared" si="241"/>
        <v>0</v>
      </c>
      <c r="K762" s="427">
        <f t="shared" si="241"/>
        <v>0</v>
      </c>
      <c r="L762" s="427">
        <f t="shared" si="241"/>
        <v>0</v>
      </c>
      <c r="M762" s="427">
        <f t="shared" si="241"/>
        <v>0</v>
      </c>
      <c r="N762" s="427">
        <f t="shared" si="241"/>
        <v>0</v>
      </c>
      <c r="O762" s="427">
        <f t="shared" si="241"/>
        <v>0</v>
      </c>
      <c r="P762" s="427">
        <f t="shared" si="241"/>
        <v>0</v>
      </c>
      <c r="Q762" s="427">
        <f>SUM(E762:P762)</f>
        <v>0</v>
      </c>
    </row>
    <row r="763" spans="1:17" x14ac:dyDescent="0.2">
      <c r="A763" s="222">
        <f>A762+1</f>
        <v>12</v>
      </c>
      <c r="C763" s="240" t="str">
        <f>C758</f>
        <v xml:space="preserve">    Next 70,000 Mcf</v>
      </c>
      <c r="D763" s="782">
        <f>Input!D36</f>
        <v>0.28899999999999998</v>
      </c>
      <c r="E763" s="427">
        <f>ROUND(E758*$D$763,2)</f>
        <v>0</v>
      </c>
      <c r="F763" s="427">
        <f t="shared" ref="F763:P763" si="242">ROUND(F758*$D$763,2)</f>
        <v>0</v>
      </c>
      <c r="G763" s="427">
        <f t="shared" si="242"/>
        <v>0</v>
      </c>
      <c r="H763" s="427">
        <f t="shared" si="242"/>
        <v>0</v>
      </c>
      <c r="I763" s="427">
        <f t="shared" si="242"/>
        <v>0</v>
      </c>
      <c r="J763" s="427">
        <f t="shared" si="242"/>
        <v>0</v>
      </c>
      <c r="K763" s="427">
        <f t="shared" si="242"/>
        <v>0</v>
      </c>
      <c r="L763" s="427">
        <f t="shared" si="242"/>
        <v>0</v>
      </c>
      <c r="M763" s="427">
        <f t="shared" si="242"/>
        <v>0</v>
      </c>
      <c r="N763" s="427">
        <f t="shared" si="242"/>
        <v>0</v>
      </c>
      <c r="O763" s="427">
        <f t="shared" si="242"/>
        <v>0</v>
      </c>
      <c r="P763" s="427">
        <f t="shared" si="242"/>
        <v>0</v>
      </c>
      <c r="Q763" s="427">
        <f>SUM(E763:P763)</f>
        <v>0</v>
      </c>
    </row>
    <row r="764" spans="1:17" x14ac:dyDescent="0.2">
      <c r="A764" s="222">
        <f>A763+1</f>
        <v>13</v>
      </c>
      <c r="C764" s="240" t="str">
        <f>C759</f>
        <v xml:space="preserve">    Over 100,000 Mcf</v>
      </c>
      <c r="D764" s="782">
        <f>Input!E36</f>
        <v>0.28899999999999998</v>
      </c>
      <c r="E764" s="431">
        <f t="shared" ref="E764:P764" si="243">ROUND(E759*$D$764,2)</f>
        <v>0</v>
      </c>
      <c r="F764" s="431">
        <f t="shared" si="243"/>
        <v>0</v>
      </c>
      <c r="G764" s="431">
        <f t="shared" si="243"/>
        <v>0</v>
      </c>
      <c r="H764" s="431">
        <f t="shared" si="243"/>
        <v>0</v>
      </c>
      <c r="I764" s="431">
        <f t="shared" si="243"/>
        <v>0</v>
      </c>
      <c r="J764" s="431">
        <f t="shared" si="243"/>
        <v>0</v>
      </c>
      <c r="K764" s="431">
        <f t="shared" si="243"/>
        <v>0</v>
      </c>
      <c r="L764" s="431">
        <f t="shared" si="243"/>
        <v>0</v>
      </c>
      <c r="M764" s="431">
        <f t="shared" si="243"/>
        <v>0</v>
      </c>
      <c r="N764" s="431">
        <f t="shared" si="243"/>
        <v>0</v>
      </c>
      <c r="O764" s="431">
        <f t="shared" si="243"/>
        <v>0</v>
      </c>
      <c r="P764" s="431">
        <f t="shared" si="243"/>
        <v>0</v>
      </c>
      <c r="Q764" s="431">
        <f>SUM(E764:P764)</f>
        <v>0</v>
      </c>
    </row>
    <row r="765" spans="1:17" x14ac:dyDescent="0.2">
      <c r="C765" s="240"/>
      <c r="D765" s="782"/>
      <c r="E765" s="427">
        <f t="shared" ref="E765:O765" si="244">SUM(E762:E764)</f>
        <v>0</v>
      </c>
      <c r="F765" s="427">
        <f t="shared" si="244"/>
        <v>0</v>
      </c>
      <c r="G765" s="427">
        <f t="shared" si="244"/>
        <v>0</v>
      </c>
      <c r="H765" s="427">
        <f t="shared" si="244"/>
        <v>0</v>
      </c>
      <c r="I765" s="427">
        <f t="shared" si="244"/>
        <v>0</v>
      </c>
      <c r="J765" s="427">
        <f t="shared" si="244"/>
        <v>0</v>
      </c>
      <c r="K765" s="427">
        <f t="shared" si="244"/>
        <v>0</v>
      </c>
      <c r="L765" s="427">
        <f t="shared" si="244"/>
        <v>0</v>
      </c>
      <c r="M765" s="427">
        <f t="shared" si="244"/>
        <v>0</v>
      </c>
      <c r="N765" s="427">
        <f t="shared" si="244"/>
        <v>0</v>
      </c>
      <c r="O765" s="427">
        <f t="shared" si="244"/>
        <v>0</v>
      </c>
      <c r="P765" s="427">
        <f>SUM(P762:P764)</f>
        <v>0</v>
      </c>
      <c r="Q765" s="427">
        <f>SUM(E765:P765)</f>
        <v>0</v>
      </c>
    </row>
    <row r="766" spans="1:17" x14ac:dyDescent="0.2">
      <c r="C766" s="240"/>
      <c r="D766" s="782"/>
      <c r="E766" s="290"/>
      <c r="G766" s="290"/>
      <c r="I766" s="290"/>
      <c r="Q766" s="290"/>
    </row>
    <row r="767" spans="1:17" x14ac:dyDescent="0.2">
      <c r="A767" s="222">
        <f>A764+1</f>
        <v>14</v>
      </c>
      <c r="C767" s="219" t="s">
        <v>204</v>
      </c>
      <c r="D767" s="286"/>
      <c r="E767" s="427">
        <f t="shared" ref="E767:O767" si="245">E753+E754+E765</f>
        <v>0</v>
      </c>
      <c r="F767" s="427">
        <f t="shared" si="245"/>
        <v>0</v>
      </c>
      <c r="G767" s="427">
        <f t="shared" si="245"/>
        <v>0</v>
      </c>
      <c r="H767" s="427">
        <f t="shared" si="245"/>
        <v>0</v>
      </c>
      <c r="I767" s="427">
        <f t="shared" si="245"/>
        <v>0</v>
      </c>
      <c r="J767" s="427">
        <f t="shared" si="245"/>
        <v>0</v>
      </c>
      <c r="K767" s="427">
        <f t="shared" si="245"/>
        <v>0</v>
      </c>
      <c r="L767" s="427">
        <f t="shared" si="245"/>
        <v>0</v>
      </c>
      <c r="M767" s="427">
        <f t="shared" si="245"/>
        <v>0</v>
      </c>
      <c r="N767" s="427">
        <f t="shared" si="245"/>
        <v>0</v>
      </c>
      <c r="O767" s="427">
        <f t="shared" si="245"/>
        <v>0</v>
      </c>
      <c r="P767" s="427">
        <f>P753+P754+P765</f>
        <v>0</v>
      </c>
      <c r="Q767" s="427">
        <f>SUM(E767:P767)</f>
        <v>0</v>
      </c>
    </row>
    <row r="768" spans="1:17" x14ac:dyDescent="0.2">
      <c r="D768" s="286"/>
      <c r="E768" s="459"/>
      <c r="F768" s="459"/>
      <c r="G768" s="459"/>
      <c r="H768" s="459"/>
      <c r="I768" s="459"/>
      <c r="J768" s="459"/>
      <c r="K768" s="459"/>
      <c r="L768" s="459"/>
      <c r="M768" s="459"/>
      <c r="N768" s="459"/>
      <c r="O768" s="459"/>
      <c r="P768" s="459"/>
      <c r="Q768" s="459"/>
    </row>
    <row r="769" spans="1:17" x14ac:dyDescent="0.2">
      <c r="A769" s="222">
        <f>A767+1</f>
        <v>15</v>
      </c>
      <c r="C769" s="219" t="s">
        <v>208</v>
      </c>
      <c r="D769" s="782">
        <f>EGC</f>
        <v>2.2090999999999998</v>
      </c>
      <c r="E769" s="427">
        <f t="shared" ref="E769:O769" si="246">ROUND(E757*$D$769,2)</f>
        <v>0</v>
      </c>
      <c r="F769" s="427">
        <f t="shared" si="246"/>
        <v>0</v>
      </c>
      <c r="G769" s="427">
        <f t="shared" si="246"/>
        <v>0</v>
      </c>
      <c r="H769" s="427">
        <f t="shared" si="246"/>
        <v>0</v>
      </c>
      <c r="I769" s="427">
        <f t="shared" si="246"/>
        <v>0</v>
      </c>
      <c r="J769" s="427">
        <f t="shared" si="246"/>
        <v>0</v>
      </c>
      <c r="K769" s="427">
        <f t="shared" si="246"/>
        <v>0</v>
      </c>
      <c r="L769" s="427">
        <f t="shared" si="246"/>
        <v>0</v>
      </c>
      <c r="M769" s="427">
        <f t="shared" si="246"/>
        <v>0</v>
      </c>
      <c r="N769" s="427">
        <f t="shared" si="246"/>
        <v>0</v>
      </c>
      <c r="O769" s="427">
        <f t="shared" si="246"/>
        <v>0</v>
      </c>
      <c r="P769" s="427">
        <f>ROUND(P757*$D$769,2)</f>
        <v>0</v>
      </c>
      <c r="Q769" s="427">
        <f>SUM(E769:P769)</f>
        <v>0</v>
      </c>
    </row>
    <row r="770" spans="1:17" x14ac:dyDescent="0.2">
      <c r="D770" s="286"/>
      <c r="E770" s="466"/>
      <c r="F770" s="466"/>
      <c r="G770" s="466"/>
      <c r="H770" s="466"/>
      <c r="I770" s="466"/>
      <c r="J770" s="466"/>
      <c r="K770" s="466"/>
      <c r="L770" s="466"/>
      <c r="M770" s="466"/>
      <c r="N770" s="466"/>
      <c r="O770" s="466"/>
      <c r="P770" s="466"/>
      <c r="Q770" s="459"/>
    </row>
    <row r="771" spans="1:17" x14ac:dyDescent="0.2">
      <c r="A771" s="446">
        <f>A769+1</f>
        <v>16</v>
      </c>
      <c r="B771" s="447"/>
      <c r="C771" s="449" t="s">
        <v>206</v>
      </c>
      <c r="D771" s="461"/>
      <c r="E771" s="450">
        <f t="shared" ref="E771:O771" si="247">E767+E769</f>
        <v>0</v>
      </c>
      <c r="F771" s="450">
        <f t="shared" si="247"/>
        <v>0</v>
      </c>
      <c r="G771" s="450">
        <f t="shared" si="247"/>
        <v>0</v>
      </c>
      <c r="H771" s="450">
        <f t="shared" si="247"/>
        <v>0</v>
      </c>
      <c r="I771" s="450">
        <f t="shared" si="247"/>
        <v>0</v>
      </c>
      <c r="J771" s="450">
        <f t="shared" si="247"/>
        <v>0</v>
      </c>
      <c r="K771" s="450">
        <f t="shared" si="247"/>
        <v>0</v>
      </c>
      <c r="L771" s="450">
        <f t="shared" si="247"/>
        <v>0</v>
      </c>
      <c r="M771" s="450">
        <f t="shared" si="247"/>
        <v>0</v>
      </c>
      <c r="N771" s="450">
        <f t="shared" si="247"/>
        <v>0</v>
      </c>
      <c r="O771" s="450">
        <f t="shared" si="247"/>
        <v>0</v>
      </c>
      <c r="P771" s="450">
        <f>P767+P769</f>
        <v>0</v>
      </c>
      <c r="Q771" s="450">
        <f>SUM(E771:P771)</f>
        <v>0</v>
      </c>
    </row>
    <row r="772" spans="1:17" x14ac:dyDescent="0.2">
      <c r="D772" s="286"/>
      <c r="E772" s="459"/>
      <c r="F772" s="459"/>
      <c r="G772" s="459"/>
      <c r="H772" s="459"/>
      <c r="I772" s="459"/>
      <c r="J772" s="459"/>
      <c r="K772" s="459"/>
      <c r="L772" s="459"/>
      <c r="M772" s="459"/>
      <c r="N772" s="459"/>
      <c r="O772" s="459"/>
      <c r="P772" s="459"/>
      <c r="Q772" s="459"/>
    </row>
    <row r="773" spans="1:17" x14ac:dyDescent="0.2">
      <c r="A773" s="222">
        <f>A771+1</f>
        <v>17</v>
      </c>
      <c r="C773" s="240" t="s">
        <v>196</v>
      </c>
      <c r="D773" s="286"/>
      <c r="E773" s="459"/>
      <c r="F773" s="466"/>
      <c r="G773" s="466"/>
      <c r="H773" s="466"/>
      <c r="I773" s="466"/>
      <c r="J773" s="466"/>
      <c r="K773" s="466"/>
      <c r="L773" s="459"/>
      <c r="M773" s="459"/>
      <c r="N773" s="459"/>
      <c r="O773" s="459"/>
      <c r="P773" s="459"/>
      <c r="Q773" s="459"/>
    </row>
    <row r="774" spans="1:17" x14ac:dyDescent="0.2">
      <c r="A774" s="222">
        <f>A773+1</f>
        <v>18</v>
      </c>
      <c r="C774" s="240" t="s">
        <v>214</v>
      </c>
      <c r="D774" s="782">
        <f>Input!N36</f>
        <v>1.6E-2</v>
      </c>
      <c r="E774" s="427">
        <f t="shared" ref="E774:O774" si="248">ROUND(E760*$D$774,2)</f>
        <v>0</v>
      </c>
      <c r="F774" s="427">
        <f t="shared" si="248"/>
        <v>0</v>
      </c>
      <c r="G774" s="427">
        <f t="shared" si="248"/>
        <v>0</v>
      </c>
      <c r="H774" s="427">
        <f t="shared" si="248"/>
        <v>0</v>
      </c>
      <c r="I774" s="427">
        <f t="shared" si="248"/>
        <v>0</v>
      </c>
      <c r="J774" s="427">
        <f t="shared" si="248"/>
        <v>0</v>
      </c>
      <c r="K774" s="427">
        <f t="shared" si="248"/>
        <v>0</v>
      </c>
      <c r="L774" s="427">
        <f t="shared" si="248"/>
        <v>0</v>
      </c>
      <c r="M774" s="427">
        <f t="shared" si="248"/>
        <v>0</v>
      </c>
      <c r="N774" s="427">
        <f t="shared" si="248"/>
        <v>0</v>
      </c>
      <c r="O774" s="427">
        <f t="shared" si="248"/>
        <v>0</v>
      </c>
      <c r="P774" s="427">
        <f>ROUND(P760*$D$774,2)</f>
        <v>0</v>
      </c>
      <c r="Q774" s="427">
        <f>SUM(E774:P774)</f>
        <v>0</v>
      </c>
    </row>
    <row r="775" spans="1:17" x14ac:dyDescent="0.2">
      <c r="E775" s="459"/>
      <c r="F775" s="459"/>
      <c r="G775" s="459"/>
      <c r="H775" s="459"/>
      <c r="I775" s="459"/>
      <c r="J775" s="459"/>
      <c r="K775" s="459"/>
      <c r="L775" s="459"/>
      <c r="M775" s="459"/>
      <c r="N775" s="459"/>
      <c r="O775" s="459"/>
      <c r="P775" s="459"/>
      <c r="Q775" s="459"/>
    </row>
    <row r="776" spans="1:17" ht="10.8" thickBot="1" x14ac:dyDescent="0.25">
      <c r="A776" s="488">
        <f>A774+1</f>
        <v>19</v>
      </c>
      <c r="B776" s="489"/>
      <c r="C776" s="490" t="s">
        <v>205</v>
      </c>
      <c r="D776" s="490"/>
      <c r="E776" s="492">
        <f>E771+E774</f>
        <v>0</v>
      </c>
      <c r="F776" s="492">
        <f t="shared" ref="F776:P776" si="249">F771+F774</f>
        <v>0</v>
      </c>
      <c r="G776" s="492">
        <f t="shared" si="249"/>
        <v>0</v>
      </c>
      <c r="H776" s="492">
        <f t="shared" si="249"/>
        <v>0</v>
      </c>
      <c r="I776" s="492">
        <f t="shared" si="249"/>
        <v>0</v>
      </c>
      <c r="J776" s="492">
        <f t="shared" si="249"/>
        <v>0</v>
      </c>
      <c r="K776" s="492">
        <f t="shared" si="249"/>
        <v>0</v>
      </c>
      <c r="L776" s="492">
        <f t="shared" si="249"/>
        <v>0</v>
      </c>
      <c r="M776" s="492">
        <f t="shared" si="249"/>
        <v>0</v>
      </c>
      <c r="N776" s="492">
        <f t="shared" si="249"/>
        <v>0</v>
      </c>
      <c r="O776" s="492">
        <f t="shared" si="249"/>
        <v>0</v>
      </c>
      <c r="P776" s="492">
        <f t="shared" si="249"/>
        <v>0</v>
      </c>
      <c r="Q776" s="492">
        <f>SUM(E776:P776)</f>
        <v>0</v>
      </c>
    </row>
    <row r="777" spans="1:17" ht="10.8" thickTop="1" x14ac:dyDescent="0.2">
      <c r="E777" s="290"/>
      <c r="G777" s="290"/>
      <c r="I777" s="290"/>
      <c r="Q777" s="290"/>
    </row>
    <row r="779" spans="1:17" x14ac:dyDescent="0.2">
      <c r="A779" s="222">
        <f>A776+1</f>
        <v>20</v>
      </c>
      <c r="B779" s="219" t="str">
        <f>B199</f>
        <v>IUS</v>
      </c>
      <c r="C779" s="219" t="str">
        <f>C199</f>
        <v>Intrastate Utility Service - Wholesale</v>
      </c>
    </row>
    <row r="781" spans="1:17" x14ac:dyDescent="0.2">
      <c r="A781" s="222">
        <f>A779+1</f>
        <v>21</v>
      </c>
      <c r="C781" s="223" t="s">
        <v>115</v>
      </c>
    </row>
    <row r="783" spans="1:17" x14ac:dyDescent="0.2">
      <c r="A783" s="222">
        <f>A781+1</f>
        <v>22</v>
      </c>
      <c r="C783" s="219" t="s">
        <v>202</v>
      </c>
      <c r="E783" s="472">
        <f>B!D99</f>
        <v>2</v>
      </c>
      <c r="F783" s="472">
        <f>B!E99</f>
        <v>2</v>
      </c>
      <c r="G783" s="472">
        <f>B!F99</f>
        <v>2</v>
      </c>
      <c r="H783" s="472">
        <f>B!G99</f>
        <v>2</v>
      </c>
      <c r="I783" s="472">
        <f>B!H99</f>
        <v>2</v>
      </c>
      <c r="J783" s="472">
        <f>B!I99</f>
        <v>2</v>
      </c>
      <c r="K783" s="472">
        <f>B!J99</f>
        <v>2</v>
      </c>
      <c r="L783" s="472">
        <f>B!K99</f>
        <v>2</v>
      </c>
      <c r="M783" s="472">
        <f>B!L99</f>
        <v>2</v>
      </c>
      <c r="N783" s="472">
        <f>B!M99</f>
        <v>2</v>
      </c>
      <c r="O783" s="472">
        <f>B!N99</f>
        <v>2</v>
      </c>
      <c r="P783" s="472">
        <f>B!O99</f>
        <v>2</v>
      </c>
      <c r="Q783" s="473">
        <f>SUM(E783:P783)</f>
        <v>24</v>
      </c>
    </row>
    <row r="784" spans="1:17" x14ac:dyDescent="0.2">
      <c r="A784" s="222">
        <f>A783+1</f>
        <v>23</v>
      </c>
      <c r="C784" s="219" t="s">
        <v>210</v>
      </c>
      <c r="D784" s="781">
        <f>Input!H37</f>
        <v>477</v>
      </c>
      <c r="E784" s="427">
        <f t="shared" ref="E784:P784" si="250">ROUND(E783*$D$784,2)</f>
        <v>954</v>
      </c>
      <c r="F784" s="427">
        <f t="shared" si="250"/>
        <v>954</v>
      </c>
      <c r="G784" s="427">
        <f t="shared" si="250"/>
        <v>954</v>
      </c>
      <c r="H784" s="427">
        <f t="shared" si="250"/>
        <v>954</v>
      </c>
      <c r="I784" s="427">
        <f t="shared" si="250"/>
        <v>954</v>
      </c>
      <c r="J784" s="427">
        <f t="shared" si="250"/>
        <v>954</v>
      </c>
      <c r="K784" s="427">
        <f t="shared" si="250"/>
        <v>954</v>
      </c>
      <c r="L784" s="427">
        <f t="shared" si="250"/>
        <v>954</v>
      </c>
      <c r="M784" s="427">
        <f t="shared" si="250"/>
        <v>954</v>
      </c>
      <c r="N784" s="427">
        <f t="shared" si="250"/>
        <v>954</v>
      </c>
      <c r="O784" s="427">
        <f t="shared" si="250"/>
        <v>954</v>
      </c>
      <c r="P784" s="427">
        <f t="shared" si="250"/>
        <v>954</v>
      </c>
      <c r="Q784" s="427">
        <f>SUM(E784:P784)</f>
        <v>11448</v>
      </c>
    </row>
    <row r="785" spans="1:18" x14ac:dyDescent="0.2">
      <c r="A785" s="222">
        <f>A784+1</f>
        <v>24</v>
      </c>
      <c r="C785" s="219" t="s">
        <v>211</v>
      </c>
      <c r="D785" s="781">
        <f>Input!J37</f>
        <v>76.959999999999994</v>
      </c>
      <c r="E785" s="427">
        <f t="shared" ref="E785:P785" si="251">ROUND(E783*$D$785,2)</f>
        <v>153.91999999999999</v>
      </c>
      <c r="F785" s="427">
        <f t="shared" si="251"/>
        <v>153.91999999999999</v>
      </c>
      <c r="G785" s="427">
        <f t="shared" si="251"/>
        <v>153.91999999999999</v>
      </c>
      <c r="H785" s="427">
        <f t="shared" si="251"/>
        <v>153.91999999999999</v>
      </c>
      <c r="I785" s="427">
        <f t="shared" si="251"/>
        <v>153.91999999999999</v>
      </c>
      <c r="J785" s="427">
        <f t="shared" si="251"/>
        <v>153.91999999999999</v>
      </c>
      <c r="K785" s="427">
        <f t="shared" si="251"/>
        <v>153.91999999999999</v>
      </c>
      <c r="L785" s="427">
        <f t="shared" si="251"/>
        <v>153.91999999999999</v>
      </c>
      <c r="M785" s="427">
        <f t="shared" si="251"/>
        <v>153.91999999999999</v>
      </c>
      <c r="N785" s="427">
        <f t="shared" si="251"/>
        <v>153.91999999999999</v>
      </c>
      <c r="O785" s="427">
        <f t="shared" si="251"/>
        <v>153.91999999999999</v>
      </c>
      <c r="P785" s="427">
        <f t="shared" si="251"/>
        <v>153.91999999999999</v>
      </c>
      <c r="Q785" s="427">
        <f>SUM(E785:P785)</f>
        <v>1847.0400000000002</v>
      </c>
    </row>
    <row r="786" spans="1:18" x14ac:dyDescent="0.2">
      <c r="D786" s="512"/>
      <c r="E786" s="475"/>
      <c r="I786" s="293"/>
      <c r="J786" s="288"/>
    </row>
    <row r="787" spans="1:18" x14ac:dyDescent="0.2">
      <c r="A787" s="222">
        <f>A785+1</f>
        <v>25</v>
      </c>
      <c r="C787" s="240" t="s">
        <v>209</v>
      </c>
      <c r="D787" s="512"/>
      <c r="E787" s="524">
        <f>'C'!D141</f>
        <v>3136.7</v>
      </c>
      <c r="F787" s="524">
        <f>'C'!E141</f>
        <v>2307.1999999999998</v>
      </c>
      <c r="G787" s="524">
        <f>'C'!F141</f>
        <v>1098.5999999999999</v>
      </c>
      <c r="H787" s="524">
        <f>'C'!G141</f>
        <v>641.70000000000005</v>
      </c>
      <c r="I787" s="524">
        <f>'C'!H141</f>
        <v>362.9</v>
      </c>
      <c r="J787" s="524">
        <f>'C'!I141</f>
        <v>221.4</v>
      </c>
      <c r="K787" s="524">
        <f>'C'!J141</f>
        <v>245</v>
      </c>
      <c r="L787" s="524">
        <f>'C'!K141</f>
        <v>196.3</v>
      </c>
      <c r="M787" s="524">
        <f>'C'!L141</f>
        <v>196.6</v>
      </c>
      <c r="N787" s="524">
        <f>'C'!M141</f>
        <v>705.2</v>
      </c>
      <c r="O787" s="524">
        <f>'C'!N141</f>
        <v>1014.3</v>
      </c>
      <c r="P787" s="524">
        <f>'C'!O141</f>
        <v>1194.8</v>
      </c>
      <c r="Q787" s="525">
        <f>SUM(E787:P787)</f>
        <v>11320.699999999999</v>
      </c>
    </row>
    <row r="788" spans="1:18" x14ac:dyDescent="0.2">
      <c r="A788" s="222">
        <f>A787+1</f>
        <v>26</v>
      </c>
      <c r="C788" s="301" t="s">
        <v>212</v>
      </c>
      <c r="D788" s="782">
        <f>Input!C37</f>
        <v>0.81499999999999995</v>
      </c>
      <c r="E788" s="427">
        <f t="shared" ref="E788:P788" si="252">ROUND(E787*$D$788,2)</f>
        <v>2556.41</v>
      </c>
      <c r="F788" s="427">
        <f t="shared" si="252"/>
        <v>1880.37</v>
      </c>
      <c r="G788" s="427">
        <f t="shared" si="252"/>
        <v>895.36</v>
      </c>
      <c r="H788" s="427">
        <f t="shared" si="252"/>
        <v>522.99</v>
      </c>
      <c r="I788" s="427">
        <f t="shared" si="252"/>
        <v>295.76</v>
      </c>
      <c r="J788" s="427">
        <f t="shared" si="252"/>
        <v>180.44</v>
      </c>
      <c r="K788" s="427">
        <f t="shared" si="252"/>
        <v>199.68</v>
      </c>
      <c r="L788" s="427">
        <f t="shared" si="252"/>
        <v>159.97999999999999</v>
      </c>
      <c r="M788" s="427">
        <f t="shared" si="252"/>
        <v>160.22999999999999</v>
      </c>
      <c r="N788" s="427">
        <f t="shared" si="252"/>
        <v>574.74</v>
      </c>
      <c r="O788" s="427">
        <f t="shared" si="252"/>
        <v>826.65</v>
      </c>
      <c r="P788" s="427">
        <f t="shared" si="252"/>
        <v>973.76</v>
      </c>
      <c r="Q788" s="427">
        <f>SUM(E788:P788)</f>
        <v>9226.369999999999</v>
      </c>
    </row>
    <row r="789" spans="1:18" x14ac:dyDescent="0.2">
      <c r="A789" s="222">
        <f>A788+1</f>
        <v>27</v>
      </c>
      <c r="C789" s="301"/>
      <c r="D789" s="512"/>
      <c r="E789" s="480"/>
      <c r="F789" s="480"/>
      <c r="G789" s="480"/>
      <c r="H789" s="480"/>
      <c r="I789" s="480"/>
      <c r="J789" s="480"/>
      <c r="K789" s="480"/>
      <c r="L789" s="480"/>
      <c r="M789" s="480"/>
      <c r="N789" s="480"/>
      <c r="O789" s="480"/>
      <c r="P789" s="480"/>
      <c r="Q789" s="481"/>
    </row>
    <row r="790" spans="1:18" x14ac:dyDescent="0.2">
      <c r="A790" s="222">
        <f>A789+1</f>
        <v>28</v>
      </c>
      <c r="C790" s="219" t="s">
        <v>204</v>
      </c>
      <c r="D790" s="512"/>
      <c r="E790" s="427">
        <f t="shared" ref="E790:O790" si="253">E784+E785+E788</f>
        <v>3664.33</v>
      </c>
      <c r="F790" s="427">
        <f t="shared" si="253"/>
        <v>2988.29</v>
      </c>
      <c r="G790" s="427">
        <f t="shared" si="253"/>
        <v>2003.2800000000002</v>
      </c>
      <c r="H790" s="427">
        <f t="shared" si="253"/>
        <v>1630.91</v>
      </c>
      <c r="I790" s="427">
        <f t="shared" si="253"/>
        <v>1403.68</v>
      </c>
      <c r="J790" s="427">
        <f t="shared" si="253"/>
        <v>1288.3600000000001</v>
      </c>
      <c r="K790" s="427">
        <f t="shared" si="253"/>
        <v>1307.6000000000001</v>
      </c>
      <c r="L790" s="427">
        <f t="shared" si="253"/>
        <v>1267.9000000000001</v>
      </c>
      <c r="M790" s="427">
        <f t="shared" si="253"/>
        <v>1268.1500000000001</v>
      </c>
      <c r="N790" s="427">
        <f t="shared" si="253"/>
        <v>1682.66</v>
      </c>
      <c r="O790" s="427">
        <f t="shared" si="253"/>
        <v>1934.5700000000002</v>
      </c>
      <c r="P790" s="427">
        <f>P784+P785+P788</f>
        <v>2081.6800000000003</v>
      </c>
      <c r="Q790" s="427">
        <f>SUM(E790:P790)</f>
        <v>22521.41</v>
      </c>
    </row>
    <row r="791" spans="1:18" x14ac:dyDescent="0.2">
      <c r="C791" s="240"/>
      <c r="D791" s="286"/>
      <c r="E791" s="459"/>
      <c r="F791" s="459"/>
      <c r="G791" s="459"/>
      <c r="H791" s="459"/>
      <c r="I791" s="466"/>
      <c r="J791" s="466"/>
      <c r="K791" s="459"/>
      <c r="L791" s="459"/>
      <c r="M791" s="459"/>
      <c r="N791" s="459"/>
      <c r="O791" s="459"/>
      <c r="P791" s="459"/>
      <c r="Q791" s="459"/>
    </row>
    <row r="792" spans="1:18" x14ac:dyDescent="0.2">
      <c r="A792" s="222">
        <f>A790+1</f>
        <v>29</v>
      </c>
      <c r="C792" s="240" t="s">
        <v>208</v>
      </c>
      <c r="D792" s="782">
        <f>EGC</f>
        <v>2.2090999999999998</v>
      </c>
      <c r="E792" s="427">
        <f t="shared" ref="E792:O792" si="254">ROUND(E787*$D$792,2)</f>
        <v>6929.28</v>
      </c>
      <c r="F792" s="427">
        <f t="shared" si="254"/>
        <v>5096.84</v>
      </c>
      <c r="G792" s="427">
        <f t="shared" si="254"/>
        <v>2426.92</v>
      </c>
      <c r="H792" s="427">
        <f t="shared" si="254"/>
        <v>1417.58</v>
      </c>
      <c r="I792" s="427">
        <f t="shared" si="254"/>
        <v>801.68</v>
      </c>
      <c r="J792" s="427">
        <f t="shared" si="254"/>
        <v>489.09</v>
      </c>
      <c r="K792" s="427">
        <f t="shared" si="254"/>
        <v>541.23</v>
      </c>
      <c r="L792" s="427">
        <f t="shared" si="254"/>
        <v>433.65</v>
      </c>
      <c r="M792" s="427">
        <f t="shared" si="254"/>
        <v>434.31</v>
      </c>
      <c r="N792" s="427">
        <f t="shared" si="254"/>
        <v>1557.86</v>
      </c>
      <c r="O792" s="427">
        <f t="shared" si="254"/>
        <v>2240.69</v>
      </c>
      <c r="P792" s="427">
        <f>ROUND(P787*$D$792,2)</f>
        <v>2639.43</v>
      </c>
      <c r="Q792" s="427">
        <f>SUM(E792:P792)</f>
        <v>25008.560000000001</v>
      </c>
    </row>
    <row r="793" spans="1:18" x14ac:dyDescent="0.2">
      <c r="C793" s="431"/>
      <c r="D793" s="286"/>
      <c r="E793" s="484"/>
      <c r="F793" s="484"/>
      <c r="G793" s="484"/>
      <c r="H793" s="484"/>
      <c r="I793" s="484"/>
      <c r="J793" s="484"/>
      <c r="K793" s="484"/>
      <c r="L793" s="484"/>
      <c r="M793" s="484"/>
      <c r="N793" s="484"/>
      <c r="O793" s="484"/>
      <c r="P793" s="484"/>
      <c r="Q793" s="484"/>
    </row>
    <row r="794" spans="1:18" x14ac:dyDescent="0.2">
      <c r="A794" s="446">
        <f>A792+1</f>
        <v>30</v>
      </c>
      <c r="B794" s="447"/>
      <c r="C794" s="449" t="s">
        <v>206</v>
      </c>
      <c r="D794" s="461"/>
      <c r="E794" s="450">
        <f t="shared" ref="E794:O794" si="255">E790+E792</f>
        <v>10593.61</v>
      </c>
      <c r="F794" s="450">
        <f t="shared" si="255"/>
        <v>8085.13</v>
      </c>
      <c r="G794" s="450">
        <f t="shared" si="255"/>
        <v>4430.2000000000007</v>
      </c>
      <c r="H794" s="450">
        <f t="shared" si="255"/>
        <v>3048.49</v>
      </c>
      <c r="I794" s="450">
        <f t="shared" si="255"/>
        <v>2205.36</v>
      </c>
      <c r="J794" s="450">
        <f t="shared" si="255"/>
        <v>1777.45</v>
      </c>
      <c r="K794" s="450">
        <f t="shared" si="255"/>
        <v>1848.8300000000002</v>
      </c>
      <c r="L794" s="450">
        <f t="shared" si="255"/>
        <v>1701.5500000000002</v>
      </c>
      <c r="M794" s="450">
        <f t="shared" si="255"/>
        <v>1702.46</v>
      </c>
      <c r="N794" s="450">
        <f t="shared" si="255"/>
        <v>3240.52</v>
      </c>
      <c r="O794" s="450">
        <f t="shared" si="255"/>
        <v>4175.26</v>
      </c>
      <c r="P794" s="450">
        <f>P790+P792</f>
        <v>4721.1100000000006</v>
      </c>
      <c r="Q794" s="450">
        <f>SUM(E794:P794)</f>
        <v>47529.97</v>
      </c>
    </row>
    <row r="795" spans="1:18" x14ac:dyDescent="0.2">
      <c r="C795" s="240"/>
      <c r="D795" s="286"/>
      <c r="E795" s="459"/>
      <c r="F795" s="459"/>
      <c r="G795" s="459"/>
      <c r="H795" s="459"/>
      <c r="I795" s="459"/>
      <c r="J795" s="459"/>
      <c r="K795" s="459"/>
      <c r="L795" s="459"/>
      <c r="M795" s="459"/>
      <c r="N795" s="459"/>
      <c r="O795" s="459"/>
      <c r="P795" s="459"/>
      <c r="Q795" s="459"/>
      <c r="R795" s="471"/>
    </row>
    <row r="796" spans="1:18" x14ac:dyDescent="0.2">
      <c r="A796" s="222">
        <f>A794+1</f>
        <v>31</v>
      </c>
      <c r="C796" s="240" t="s">
        <v>196</v>
      </c>
      <c r="D796" s="286"/>
      <c r="E796" s="459"/>
      <c r="F796" s="466"/>
      <c r="G796" s="466"/>
      <c r="H796" s="466"/>
      <c r="I796" s="466"/>
      <c r="J796" s="466"/>
      <c r="K796" s="466"/>
      <c r="L796" s="459"/>
      <c r="M796" s="459"/>
      <c r="N796" s="459"/>
      <c r="O796" s="459"/>
      <c r="P796" s="459"/>
      <c r="Q796" s="459"/>
    </row>
    <row r="797" spans="1:18" x14ac:dyDescent="0.2">
      <c r="A797" s="222">
        <f>A796+1</f>
        <v>32</v>
      </c>
      <c r="C797" s="240" t="s">
        <v>214</v>
      </c>
      <c r="D797" s="782">
        <f>Input!N37</f>
        <v>1.6E-2</v>
      </c>
      <c r="E797" s="427">
        <f t="shared" ref="E797:O797" si="256">ROUND(E787*$D$797,2)</f>
        <v>50.19</v>
      </c>
      <c r="F797" s="427">
        <f t="shared" si="256"/>
        <v>36.92</v>
      </c>
      <c r="G797" s="427">
        <f t="shared" si="256"/>
        <v>17.579999999999998</v>
      </c>
      <c r="H797" s="427">
        <f t="shared" si="256"/>
        <v>10.27</v>
      </c>
      <c r="I797" s="427">
        <f t="shared" si="256"/>
        <v>5.81</v>
      </c>
      <c r="J797" s="427">
        <f t="shared" si="256"/>
        <v>3.54</v>
      </c>
      <c r="K797" s="427">
        <f t="shared" si="256"/>
        <v>3.92</v>
      </c>
      <c r="L797" s="427">
        <f t="shared" si="256"/>
        <v>3.14</v>
      </c>
      <c r="M797" s="427">
        <f t="shared" si="256"/>
        <v>3.15</v>
      </c>
      <c r="N797" s="427">
        <f t="shared" si="256"/>
        <v>11.28</v>
      </c>
      <c r="O797" s="427">
        <f t="shared" si="256"/>
        <v>16.23</v>
      </c>
      <c r="P797" s="427">
        <f>ROUND(P787*$D$797,2)</f>
        <v>19.12</v>
      </c>
      <c r="Q797" s="427">
        <f>SUM(E797:P797)</f>
        <v>181.14999999999998</v>
      </c>
    </row>
    <row r="798" spans="1:18" x14ac:dyDescent="0.2">
      <c r="E798" s="459"/>
      <c r="F798" s="459"/>
      <c r="G798" s="459"/>
      <c r="H798" s="459"/>
      <c r="I798" s="459"/>
      <c r="J798" s="459"/>
      <c r="K798" s="459"/>
      <c r="L798" s="459"/>
      <c r="M798" s="459"/>
      <c r="N798" s="459"/>
      <c r="O798" s="459"/>
      <c r="P798" s="459"/>
      <c r="Q798" s="459"/>
    </row>
    <row r="799" spans="1:18" ht="10.8" thickBot="1" x14ac:dyDescent="0.25">
      <c r="A799" s="488">
        <f>A797+1</f>
        <v>33</v>
      </c>
      <c r="B799" s="489"/>
      <c r="C799" s="490" t="s">
        <v>205</v>
      </c>
      <c r="D799" s="490"/>
      <c r="E799" s="492">
        <f>E794+E797</f>
        <v>10643.800000000001</v>
      </c>
      <c r="F799" s="492">
        <f t="shared" ref="F799:P799" si="257">F794+F797</f>
        <v>8122.05</v>
      </c>
      <c r="G799" s="492">
        <f t="shared" si="257"/>
        <v>4447.7800000000007</v>
      </c>
      <c r="H799" s="492">
        <f t="shared" si="257"/>
        <v>3058.7599999999998</v>
      </c>
      <c r="I799" s="492">
        <f t="shared" si="257"/>
        <v>2211.17</v>
      </c>
      <c r="J799" s="492">
        <f t="shared" si="257"/>
        <v>1780.99</v>
      </c>
      <c r="K799" s="492">
        <f t="shared" si="257"/>
        <v>1852.7500000000002</v>
      </c>
      <c r="L799" s="492">
        <f t="shared" si="257"/>
        <v>1704.6900000000003</v>
      </c>
      <c r="M799" s="492">
        <f t="shared" si="257"/>
        <v>1705.6100000000001</v>
      </c>
      <c r="N799" s="492">
        <f t="shared" si="257"/>
        <v>3251.8</v>
      </c>
      <c r="O799" s="492">
        <f t="shared" si="257"/>
        <v>4191.49</v>
      </c>
      <c r="P799" s="492">
        <f t="shared" si="257"/>
        <v>4740.2300000000005</v>
      </c>
      <c r="Q799" s="492">
        <f>SUM(E799:P799)</f>
        <v>47711.12000000001</v>
      </c>
    </row>
    <row r="800" spans="1:18" ht="10.8" thickTop="1" x14ac:dyDescent="0.2">
      <c r="E800" s="471"/>
      <c r="F800" s="471"/>
      <c r="G800" s="471"/>
      <c r="H800" s="471"/>
      <c r="I800" s="471"/>
      <c r="J800" s="471"/>
      <c r="K800" s="471"/>
      <c r="L800" s="471"/>
      <c r="M800" s="471"/>
      <c r="N800" s="471"/>
      <c r="O800" s="471"/>
      <c r="P800" s="471"/>
      <c r="Q800" s="526"/>
    </row>
    <row r="802" spans="1:17" x14ac:dyDescent="0.2">
      <c r="A802" s="222" t="str">
        <f>$A$270</f>
        <v>[1] Reflects Normalized Volumes.</v>
      </c>
    </row>
    <row r="803" spans="1:17" x14ac:dyDescent="0.2">
      <c r="A803" s="222" t="str">
        <f>"[2] Reflects Gas Cost Adjustment Rate"&amp;CONCATENATE(" as of ",EGCDATE)&amp;"."</f>
        <v>[2] Reflects Gas Cost Adjustment Rate as of March 1, 2016.</v>
      </c>
    </row>
    <row r="804" spans="1:17" x14ac:dyDescent="0.2">
      <c r="A804" s="993" t="str">
        <f>CONAME</f>
        <v>Columbia Gas of Kentucky, Inc.</v>
      </c>
      <c r="B804" s="993"/>
      <c r="C804" s="993"/>
      <c r="D804" s="993"/>
      <c r="E804" s="993"/>
      <c r="F804" s="993"/>
      <c r="G804" s="993"/>
      <c r="H804" s="993"/>
      <c r="I804" s="993"/>
      <c r="J804" s="993"/>
      <c r="K804" s="993"/>
      <c r="L804" s="993"/>
      <c r="M804" s="993"/>
      <c r="N804" s="993"/>
      <c r="O804" s="993"/>
      <c r="P804" s="993"/>
      <c r="Q804" s="993"/>
    </row>
    <row r="805" spans="1:17" x14ac:dyDescent="0.2">
      <c r="A805" s="981" t="str">
        <f>case</f>
        <v>Case No. 2016-00162</v>
      </c>
      <c r="B805" s="981"/>
      <c r="C805" s="981"/>
      <c r="D805" s="981"/>
      <c r="E805" s="981"/>
      <c r="F805" s="981"/>
      <c r="G805" s="981"/>
      <c r="H805" s="981"/>
      <c r="I805" s="981"/>
      <c r="J805" s="981"/>
      <c r="K805" s="981"/>
      <c r="L805" s="981"/>
      <c r="M805" s="981"/>
      <c r="N805" s="981"/>
      <c r="O805" s="981"/>
      <c r="P805" s="981"/>
      <c r="Q805" s="981"/>
    </row>
    <row r="806" spans="1:17" x14ac:dyDescent="0.2">
      <c r="A806" s="994" t="s">
        <v>494</v>
      </c>
      <c r="B806" s="994"/>
      <c r="C806" s="994"/>
      <c r="D806" s="994"/>
      <c r="E806" s="994"/>
      <c r="F806" s="994"/>
      <c r="G806" s="994"/>
      <c r="H806" s="994"/>
      <c r="I806" s="994"/>
      <c r="J806" s="994"/>
      <c r="K806" s="994"/>
      <c r="L806" s="994"/>
      <c r="M806" s="994"/>
      <c r="N806" s="994"/>
      <c r="O806" s="994"/>
      <c r="P806" s="994"/>
      <c r="Q806" s="994"/>
    </row>
    <row r="807" spans="1:17" x14ac:dyDescent="0.2">
      <c r="A807" s="993" t="str">
        <f>TYDESC</f>
        <v>For the 12 Months Ended December 31, 2017</v>
      </c>
      <c r="B807" s="993"/>
      <c r="C807" s="993"/>
      <c r="D807" s="993"/>
      <c r="E807" s="993"/>
      <c r="F807" s="993"/>
      <c r="G807" s="993"/>
      <c r="H807" s="993"/>
      <c r="I807" s="993"/>
      <c r="J807" s="993"/>
      <c r="K807" s="993"/>
      <c r="L807" s="993"/>
      <c r="M807" s="993"/>
      <c r="N807" s="993"/>
      <c r="O807" s="993"/>
      <c r="P807" s="993"/>
      <c r="Q807" s="993"/>
    </row>
    <row r="808" spans="1:17" x14ac:dyDescent="0.2">
      <c r="A808" s="991" t="s">
        <v>39</v>
      </c>
      <c r="B808" s="991"/>
      <c r="C808" s="991"/>
      <c r="D808" s="991"/>
      <c r="E808" s="991"/>
      <c r="F808" s="991"/>
      <c r="G808" s="991"/>
      <c r="H808" s="991"/>
      <c r="I808" s="991"/>
      <c r="J808" s="991"/>
      <c r="K808" s="991"/>
      <c r="L808" s="991"/>
      <c r="M808" s="991"/>
      <c r="N808" s="991"/>
      <c r="O808" s="991"/>
      <c r="P808" s="991"/>
      <c r="Q808" s="991"/>
    </row>
    <row r="809" spans="1:17" x14ac:dyDescent="0.2">
      <c r="A809" s="262" t="str">
        <f>$A$52</f>
        <v>Data: __ Base Period _X_ Forecasted Period</v>
      </c>
    </row>
    <row r="810" spans="1:17" x14ac:dyDescent="0.2">
      <c r="A810" s="262" t="str">
        <f>$A$53</f>
        <v>Type of Filing: X Original _ Update _ Revised</v>
      </c>
      <c r="Q810" s="413" t="str">
        <f>$Q$53</f>
        <v>Schedule M-2.2</v>
      </c>
    </row>
    <row r="811" spans="1:17" x14ac:dyDescent="0.2">
      <c r="A811" s="262" t="str">
        <f>$A$54</f>
        <v>Work Paper Reference No(s):</v>
      </c>
      <c r="Q811" s="413" t="s">
        <v>511</v>
      </c>
    </row>
    <row r="812" spans="1:17" x14ac:dyDescent="0.2">
      <c r="A812" s="414" t="str">
        <f>$A$55</f>
        <v>12 Months Forecasted</v>
      </c>
      <c r="Q812" s="413" t="str">
        <f>Witness</f>
        <v>Witness:  M. J. Bell</v>
      </c>
    </row>
    <row r="813" spans="1:17" x14ac:dyDescent="0.2">
      <c r="A813" s="992" t="s">
        <v>194</v>
      </c>
      <c r="B813" s="992"/>
      <c r="C813" s="992"/>
      <c r="D813" s="992"/>
      <c r="E813" s="992"/>
      <c r="F813" s="992"/>
      <c r="G813" s="992"/>
      <c r="H813" s="992"/>
      <c r="I813" s="992"/>
      <c r="J813" s="992"/>
      <c r="K813" s="992"/>
      <c r="L813" s="992"/>
      <c r="M813" s="992"/>
      <c r="N813" s="992"/>
      <c r="O813" s="992"/>
      <c r="P813" s="992"/>
      <c r="Q813" s="992"/>
    </row>
    <row r="814" spans="1:17" x14ac:dyDescent="0.2">
      <c r="A814" s="433"/>
      <c r="B814" s="301"/>
      <c r="C814" s="301"/>
      <c r="D814" s="300"/>
      <c r="E814" s="301"/>
      <c r="F814" s="415"/>
      <c r="G814" s="435"/>
      <c r="H814" s="415"/>
      <c r="I814" s="436"/>
      <c r="J814" s="415"/>
      <c r="K814" s="415"/>
      <c r="L814" s="415"/>
      <c r="M814" s="415"/>
      <c r="N814" s="415"/>
      <c r="O814" s="415"/>
      <c r="P814" s="415"/>
      <c r="Q814" s="301"/>
    </row>
    <row r="815" spans="1:17" x14ac:dyDescent="0.2">
      <c r="A815" s="410" t="s">
        <v>1</v>
      </c>
      <c r="B815" s="224" t="s">
        <v>0</v>
      </c>
      <c r="C815" s="224" t="s">
        <v>41</v>
      </c>
      <c r="D815" s="416" t="s">
        <v>47</v>
      </c>
      <c r="E815" s="224"/>
      <c r="F815" s="417"/>
      <c r="G815" s="418"/>
      <c r="H815" s="417"/>
      <c r="I815" s="419"/>
      <c r="J815" s="417"/>
      <c r="K815" s="417"/>
      <c r="L815" s="417"/>
      <c r="M815" s="417"/>
      <c r="N815" s="417"/>
      <c r="O815" s="417"/>
      <c r="P815" s="417"/>
      <c r="Q815" s="229"/>
    </row>
    <row r="816" spans="1:17" x14ac:dyDescent="0.2">
      <c r="A816" s="281" t="s">
        <v>3</v>
      </c>
      <c r="B816" s="226" t="s">
        <v>40</v>
      </c>
      <c r="C816" s="226" t="s">
        <v>4</v>
      </c>
      <c r="D816" s="420" t="s">
        <v>48</v>
      </c>
      <c r="E816" s="421" t="str">
        <f>B!$D$11</f>
        <v>Jan-17</v>
      </c>
      <c r="F816" s="421" t="str">
        <f>B!$E$11</f>
        <v>Feb-17</v>
      </c>
      <c r="G816" s="421" t="str">
        <f>B!$F$11</f>
        <v>Mar-17</v>
      </c>
      <c r="H816" s="421" t="str">
        <f>B!$G$11</f>
        <v>Apr-17</v>
      </c>
      <c r="I816" s="421" t="str">
        <f>B!$H$11</f>
        <v>May-17</v>
      </c>
      <c r="J816" s="421" t="str">
        <f>B!$I$11</f>
        <v>Jun-17</v>
      </c>
      <c r="K816" s="421" t="str">
        <f>B!$J$11</f>
        <v>Jul-17</v>
      </c>
      <c r="L816" s="421" t="str">
        <f>B!$K$11</f>
        <v>Aug-17</v>
      </c>
      <c r="M816" s="421" t="str">
        <f>B!$L$11</f>
        <v>Sep-17</v>
      </c>
      <c r="N816" s="421" t="str">
        <f>B!$M$11</f>
        <v>Oct-17</v>
      </c>
      <c r="O816" s="421" t="str">
        <f>B!$N$11</f>
        <v>Nov-17</v>
      </c>
      <c r="P816" s="421" t="str">
        <f>B!$O$11</f>
        <v>Dec-17</v>
      </c>
      <c r="Q816" s="422" t="s">
        <v>9</v>
      </c>
    </row>
    <row r="817" spans="1:17" x14ac:dyDescent="0.2">
      <c r="A817" s="410"/>
      <c r="B817" s="229" t="s">
        <v>42</v>
      </c>
      <c r="C817" s="229" t="s">
        <v>43</v>
      </c>
      <c r="D817" s="423" t="s">
        <v>45</v>
      </c>
      <c r="E817" s="424" t="s">
        <v>46</v>
      </c>
      <c r="F817" s="424" t="s">
        <v>49</v>
      </c>
      <c r="G817" s="424" t="s">
        <v>50</v>
      </c>
      <c r="H817" s="424" t="s">
        <v>51</v>
      </c>
      <c r="I817" s="424" t="s">
        <v>52</v>
      </c>
      <c r="J817" s="424" t="s">
        <v>53</v>
      </c>
      <c r="K817" s="425" t="s">
        <v>54</v>
      </c>
      <c r="L817" s="425" t="s">
        <v>55</v>
      </c>
      <c r="M817" s="425" t="s">
        <v>56</v>
      </c>
      <c r="N817" s="425" t="s">
        <v>57</v>
      </c>
      <c r="O817" s="425" t="s">
        <v>58</v>
      </c>
      <c r="P817" s="425" t="s">
        <v>59</v>
      </c>
      <c r="Q817" s="425" t="s">
        <v>203</v>
      </c>
    </row>
    <row r="818" spans="1:17" x14ac:dyDescent="0.2">
      <c r="E818" s="229"/>
      <c r="F818" s="425"/>
      <c r="G818" s="437"/>
      <c r="H818" s="425"/>
      <c r="I818" s="424"/>
      <c r="J818" s="425"/>
      <c r="K818" s="425"/>
      <c r="L818" s="425"/>
      <c r="M818" s="425"/>
      <c r="N818" s="425"/>
      <c r="O818" s="425"/>
      <c r="P818" s="425"/>
      <c r="Q818" s="229"/>
    </row>
    <row r="819" spans="1:17" x14ac:dyDescent="0.2">
      <c r="A819" s="222">
        <v>1</v>
      </c>
      <c r="B819" s="219" t="str">
        <f>B227</f>
        <v>GTR</v>
      </c>
      <c r="C819" s="219" t="str">
        <f>C227</f>
        <v xml:space="preserve">GTS Choice - Residential </v>
      </c>
    </row>
    <row r="821" spans="1:17" x14ac:dyDescent="0.2">
      <c r="A821" s="222">
        <f>A819+1</f>
        <v>2</v>
      </c>
      <c r="C821" s="223" t="s">
        <v>109</v>
      </c>
    </row>
    <row r="822" spans="1:17" x14ac:dyDescent="0.2">
      <c r="C822" s="223"/>
      <c r="E822" s="222"/>
      <c r="F822" s="288"/>
      <c r="G822" s="469"/>
      <c r="H822" s="288"/>
      <c r="I822" s="293"/>
      <c r="J822" s="288"/>
      <c r="K822" s="288"/>
    </row>
    <row r="823" spans="1:17" x14ac:dyDescent="0.2">
      <c r="A823" s="222">
        <f>A821+1</f>
        <v>3</v>
      </c>
      <c r="C823" s="219" t="s">
        <v>202</v>
      </c>
      <c r="E823" s="472">
        <f>B!D164</f>
        <v>23720</v>
      </c>
      <c r="F823" s="472">
        <f>B!E164</f>
        <v>23785</v>
      </c>
      <c r="G823" s="472">
        <f>B!F164</f>
        <v>23786</v>
      </c>
      <c r="H823" s="472">
        <f>B!G164</f>
        <v>23694</v>
      </c>
      <c r="I823" s="472">
        <f>B!H164</f>
        <v>23612</v>
      </c>
      <c r="J823" s="472">
        <f>B!I164</f>
        <v>23386</v>
      </c>
      <c r="K823" s="472">
        <f>B!J164</f>
        <v>23238</v>
      </c>
      <c r="L823" s="472">
        <f>B!K164</f>
        <v>23223</v>
      </c>
      <c r="M823" s="472">
        <f>B!L164</f>
        <v>23179</v>
      </c>
      <c r="N823" s="472">
        <f>B!M164</f>
        <v>23188</v>
      </c>
      <c r="O823" s="472">
        <f>B!N164</f>
        <v>23458</v>
      </c>
      <c r="P823" s="472">
        <f>B!O164</f>
        <v>23677</v>
      </c>
      <c r="Q823" s="473">
        <f>SUM(E823:P823)</f>
        <v>281946</v>
      </c>
    </row>
    <row r="824" spans="1:17" x14ac:dyDescent="0.2">
      <c r="A824" s="222">
        <f>A823+1</f>
        <v>4</v>
      </c>
      <c r="C824" s="219" t="s">
        <v>210</v>
      </c>
      <c r="D824" s="781">
        <f>Input!H41</f>
        <v>15</v>
      </c>
      <c r="E824" s="427">
        <f t="shared" ref="E824:P824" si="258">ROUND(E823*$D$824,2)</f>
        <v>355800</v>
      </c>
      <c r="F824" s="427">
        <f t="shared" si="258"/>
        <v>356775</v>
      </c>
      <c r="G824" s="427">
        <f t="shared" si="258"/>
        <v>356790</v>
      </c>
      <c r="H824" s="427">
        <f t="shared" si="258"/>
        <v>355410</v>
      </c>
      <c r="I824" s="427">
        <f t="shared" si="258"/>
        <v>354180</v>
      </c>
      <c r="J824" s="427">
        <f t="shared" si="258"/>
        <v>350790</v>
      </c>
      <c r="K824" s="427">
        <f t="shared" si="258"/>
        <v>348570</v>
      </c>
      <c r="L824" s="427">
        <f t="shared" si="258"/>
        <v>348345</v>
      </c>
      <c r="M824" s="427">
        <f t="shared" si="258"/>
        <v>347685</v>
      </c>
      <c r="N824" s="427">
        <f t="shared" si="258"/>
        <v>347820</v>
      </c>
      <c r="O824" s="427">
        <f t="shared" si="258"/>
        <v>351870</v>
      </c>
      <c r="P824" s="427">
        <f t="shared" si="258"/>
        <v>355155</v>
      </c>
      <c r="Q824" s="427">
        <f>SUM(E824:P824)</f>
        <v>4229190</v>
      </c>
    </row>
    <row r="825" spans="1:17" x14ac:dyDescent="0.2">
      <c r="A825" s="222">
        <f>A824+1</f>
        <v>5</v>
      </c>
      <c r="C825" s="219" t="s">
        <v>211</v>
      </c>
      <c r="D825" s="781">
        <f>Input!J41</f>
        <v>2.25</v>
      </c>
      <c r="E825" s="427">
        <f t="shared" ref="E825:P825" si="259">ROUND(E823*$D$825,2)</f>
        <v>53370</v>
      </c>
      <c r="F825" s="427">
        <f t="shared" si="259"/>
        <v>53516.25</v>
      </c>
      <c r="G825" s="427">
        <f t="shared" si="259"/>
        <v>53518.5</v>
      </c>
      <c r="H825" s="427">
        <f t="shared" si="259"/>
        <v>53311.5</v>
      </c>
      <c r="I825" s="427">
        <f t="shared" si="259"/>
        <v>53127</v>
      </c>
      <c r="J825" s="427">
        <f t="shared" si="259"/>
        <v>52618.5</v>
      </c>
      <c r="K825" s="427">
        <f t="shared" si="259"/>
        <v>52285.5</v>
      </c>
      <c r="L825" s="427">
        <f t="shared" si="259"/>
        <v>52251.75</v>
      </c>
      <c r="M825" s="427">
        <f t="shared" si="259"/>
        <v>52152.75</v>
      </c>
      <c r="N825" s="427">
        <f t="shared" si="259"/>
        <v>52173</v>
      </c>
      <c r="O825" s="427">
        <f t="shared" si="259"/>
        <v>52780.5</v>
      </c>
      <c r="P825" s="427">
        <f t="shared" si="259"/>
        <v>53273.25</v>
      </c>
      <c r="Q825" s="427">
        <f>SUM(E825:P825)</f>
        <v>634378.5</v>
      </c>
    </row>
    <row r="826" spans="1:17" x14ac:dyDescent="0.2">
      <c r="D826" s="512"/>
      <c r="E826" s="475"/>
      <c r="I826" s="293"/>
      <c r="J826" s="288"/>
    </row>
    <row r="827" spans="1:17" x14ac:dyDescent="0.2">
      <c r="A827" s="222">
        <f>A825+1</f>
        <v>6</v>
      </c>
      <c r="C827" s="219" t="s">
        <v>209</v>
      </c>
      <c r="D827" s="512"/>
      <c r="E827" s="476">
        <f>'C'!D187</f>
        <v>364000</v>
      </c>
      <c r="F827" s="476">
        <f>'C'!E187</f>
        <v>353000</v>
      </c>
      <c r="G827" s="476">
        <f>'C'!F187</f>
        <v>265000</v>
      </c>
      <c r="H827" s="476">
        <f>'C'!G187</f>
        <v>151000</v>
      </c>
      <c r="I827" s="476">
        <f>'C'!H187</f>
        <v>71000</v>
      </c>
      <c r="J827" s="476">
        <f>'C'!I187</f>
        <v>34000</v>
      </c>
      <c r="K827" s="476">
        <f>'C'!J187</f>
        <v>24000</v>
      </c>
      <c r="L827" s="476">
        <f>'C'!K187</f>
        <v>23000</v>
      </c>
      <c r="M827" s="476">
        <f>'C'!L187</f>
        <v>25000</v>
      </c>
      <c r="N827" s="476">
        <f>'C'!M187</f>
        <v>39000</v>
      </c>
      <c r="O827" s="476">
        <f>'C'!N187</f>
        <v>111000</v>
      </c>
      <c r="P827" s="476">
        <f>'C'!O187</f>
        <v>247000</v>
      </c>
      <c r="Q827" s="477">
        <f>SUM(E827:P827)</f>
        <v>1707000</v>
      </c>
    </row>
    <row r="828" spans="1:17" x14ac:dyDescent="0.2">
      <c r="A828" s="222">
        <f>A827+1</f>
        <v>7</v>
      </c>
      <c r="C828" s="219" t="s">
        <v>212</v>
      </c>
      <c r="D828" s="782">
        <f>Input!C41</f>
        <v>2.2665999999999999</v>
      </c>
      <c r="E828" s="427">
        <f t="shared" ref="E828:P828" si="260">ROUND(E827*$D$828,2)</f>
        <v>825042.4</v>
      </c>
      <c r="F828" s="427">
        <f t="shared" si="260"/>
        <v>800109.8</v>
      </c>
      <c r="G828" s="427">
        <f t="shared" si="260"/>
        <v>600649</v>
      </c>
      <c r="H828" s="427">
        <f t="shared" si="260"/>
        <v>342256.6</v>
      </c>
      <c r="I828" s="427">
        <f t="shared" si="260"/>
        <v>160928.6</v>
      </c>
      <c r="J828" s="427">
        <f t="shared" si="260"/>
        <v>77064.399999999994</v>
      </c>
      <c r="K828" s="427">
        <f t="shared" si="260"/>
        <v>54398.400000000001</v>
      </c>
      <c r="L828" s="427">
        <f t="shared" si="260"/>
        <v>52131.8</v>
      </c>
      <c r="M828" s="427">
        <f t="shared" si="260"/>
        <v>56665</v>
      </c>
      <c r="N828" s="427">
        <f t="shared" si="260"/>
        <v>88397.4</v>
      </c>
      <c r="O828" s="427">
        <f t="shared" si="260"/>
        <v>251592.6</v>
      </c>
      <c r="P828" s="427">
        <f t="shared" si="260"/>
        <v>559850.19999999995</v>
      </c>
      <c r="Q828" s="427">
        <f>SUM(E828:P828)</f>
        <v>3869086.2</v>
      </c>
    </row>
    <row r="829" spans="1:17" x14ac:dyDescent="0.2">
      <c r="D829" s="512"/>
      <c r="E829" s="480"/>
      <c r="F829" s="480"/>
      <c r="G829" s="480"/>
      <c r="H829" s="480"/>
      <c r="I829" s="480"/>
      <c r="J829" s="480"/>
      <c r="K829" s="480"/>
      <c r="L829" s="480"/>
      <c r="M829" s="480"/>
      <c r="N829" s="480"/>
      <c r="O829" s="480"/>
      <c r="P829" s="480"/>
      <c r="Q829" s="481"/>
    </row>
    <row r="830" spans="1:17" x14ac:dyDescent="0.2">
      <c r="A830" s="222">
        <f>A828+1</f>
        <v>8</v>
      </c>
      <c r="C830" s="219" t="s">
        <v>204</v>
      </c>
      <c r="D830" s="512"/>
      <c r="E830" s="427">
        <f t="shared" ref="E830:O830" si="261">E824+E825+E828</f>
        <v>1234212.3999999999</v>
      </c>
      <c r="F830" s="427">
        <f t="shared" si="261"/>
        <v>1210401.05</v>
      </c>
      <c r="G830" s="427">
        <f t="shared" si="261"/>
        <v>1010957.5</v>
      </c>
      <c r="H830" s="427">
        <f t="shared" si="261"/>
        <v>750978.1</v>
      </c>
      <c r="I830" s="427">
        <f t="shared" si="261"/>
        <v>568235.6</v>
      </c>
      <c r="J830" s="427">
        <f t="shared" si="261"/>
        <v>480472.9</v>
      </c>
      <c r="K830" s="427">
        <f t="shared" si="261"/>
        <v>455253.9</v>
      </c>
      <c r="L830" s="427">
        <f t="shared" si="261"/>
        <v>452728.55</v>
      </c>
      <c r="M830" s="427">
        <f t="shared" si="261"/>
        <v>456502.75</v>
      </c>
      <c r="N830" s="427">
        <f t="shared" si="261"/>
        <v>488390.40000000002</v>
      </c>
      <c r="O830" s="427">
        <f t="shared" si="261"/>
        <v>656243.1</v>
      </c>
      <c r="P830" s="427">
        <f>P824+P825+P828</f>
        <v>968278.45</v>
      </c>
      <c r="Q830" s="427">
        <f>SUM(E830:P830)</f>
        <v>8732654.6999999993</v>
      </c>
    </row>
    <row r="831" spans="1:17" x14ac:dyDescent="0.2">
      <c r="D831" s="512"/>
      <c r="E831" s="459"/>
      <c r="F831" s="459"/>
      <c r="G831" s="459"/>
      <c r="H831" s="459"/>
      <c r="I831" s="466"/>
      <c r="J831" s="466"/>
      <c r="K831" s="459"/>
      <c r="L831" s="459"/>
      <c r="M831" s="459"/>
      <c r="N831" s="459"/>
      <c r="O831" s="459"/>
      <c r="P831" s="459"/>
      <c r="Q831" s="459"/>
    </row>
    <row r="832" spans="1:17" x14ac:dyDescent="0.2">
      <c r="A832" s="222">
        <f>A830+1</f>
        <v>9</v>
      </c>
      <c r="C832" s="219" t="s">
        <v>151</v>
      </c>
      <c r="D832" s="783">
        <v>0</v>
      </c>
      <c r="E832" s="510">
        <v>0</v>
      </c>
      <c r="F832" s="510">
        <v>0</v>
      </c>
      <c r="G832" s="510">
        <v>0</v>
      </c>
      <c r="H832" s="510">
        <v>0</v>
      </c>
      <c r="I832" s="510">
        <v>0</v>
      </c>
      <c r="J832" s="510">
        <v>0</v>
      </c>
      <c r="K832" s="510">
        <v>0</v>
      </c>
      <c r="L832" s="510">
        <v>0</v>
      </c>
      <c r="M832" s="510">
        <v>0</v>
      </c>
      <c r="N832" s="510">
        <v>0</v>
      </c>
      <c r="O832" s="510">
        <v>0</v>
      </c>
      <c r="P832" s="510">
        <v>0</v>
      </c>
      <c r="Q832" s="427">
        <f>SUM(E832:P832)</f>
        <v>0</v>
      </c>
    </row>
    <row r="833" spans="1:17" x14ac:dyDescent="0.2">
      <c r="D833" s="512"/>
      <c r="E833" s="484"/>
      <c r="F833" s="484"/>
      <c r="G833" s="484"/>
      <c r="H833" s="484"/>
      <c r="I833" s="484"/>
      <c r="J833" s="484"/>
      <c r="K833" s="484"/>
      <c r="L833" s="484"/>
      <c r="M833" s="484"/>
      <c r="N833" s="484"/>
      <c r="O833" s="484"/>
      <c r="P833" s="484"/>
      <c r="Q833" s="484"/>
    </row>
    <row r="834" spans="1:17" x14ac:dyDescent="0.2">
      <c r="A834" s="446">
        <f>A832+1</f>
        <v>10</v>
      </c>
      <c r="B834" s="447"/>
      <c r="C834" s="447" t="s">
        <v>206</v>
      </c>
      <c r="D834" s="461"/>
      <c r="E834" s="450">
        <f t="shared" ref="E834:N834" si="262">E830+E832</f>
        <v>1234212.3999999999</v>
      </c>
      <c r="F834" s="450">
        <f t="shared" si="262"/>
        <v>1210401.05</v>
      </c>
      <c r="G834" s="450">
        <f t="shared" si="262"/>
        <v>1010957.5</v>
      </c>
      <c r="H834" s="450">
        <f t="shared" si="262"/>
        <v>750978.1</v>
      </c>
      <c r="I834" s="450">
        <f t="shared" si="262"/>
        <v>568235.6</v>
      </c>
      <c r="J834" s="450">
        <f t="shared" si="262"/>
        <v>480472.9</v>
      </c>
      <c r="K834" s="450">
        <f t="shared" si="262"/>
        <v>455253.9</v>
      </c>
      <c r="L834" s="450">
        <f t="shared" si="262"/>
        <v>452728.55</v>
      </c>
      <c r="M834" s="450">
        <f t="shared" si="262"/>
        <v>456502.75</v>
      </c>
      <c r="N834" s="450">
        <f t="shared" si="262"/>
        <v>488390.40000000002</v>
      </c>
      <c r="O834" s="450">
        <f>O830+O832</f>
        <v>656243.1</v>
      </c>
      <c r="P834" s="450">
        <f>P830+P832</f>
        <v>968278.45</v>
      </c>
      <c r="Q834" s="450">
        <f>SUM(E834:P834)</f>
        <v>8732654.6999999993</v>
      </c>
    </row>
    <row r="835" spans="1:17" x14ac:dyDescent="0.2">
      <c r="D835" s="512"/>
      <c r="E835" s="459"/>
      <c r="F835" s="459"/>
      <c r="G835" s="459"/>
      <c r="H835" s="459"/>
      <c r="I835" s="459"/>
      <c r="J835" s="459"/>
      <c r="K835" s="459"/>
      <c r="L835" s="459"/>
      <c r="M835" s="459"/>
      <c r="N835" s="459"/>
      <c r="O835" s="459"/>
      <c r="P835" s="459"/>
      <c r="Q835" s="459"/>
    </row>
    <row r="836" spans="1:17" x14ac:dyDescent="0.2">
      <c r="A836" s="222">
        <f>A834+1</f>
        <v>11</v>
      </c>
      <c r="C836" s="219" t="s">
        <v>196</v>
      </c>
      <c r="D836" s="512"/>
      <c r="E836" s="471"/>
      <c r="F836" s="482"/>
      <c r="G836" s="482"/>
      <c r="H836" s="482"/>
      <c r="I836" s="482"/>
      <c r="J836" s="482"/>
      <c r="K836" s="482"/>
      <c r="L836" s="471"/>
      <c r="M836" s="471"/>
      <c r="N836" s="471"/>
      <c r="O836" s="471"/>
      <c r="P836" s="471"/>
      <c r="Q836" s="471"/>
    </row>
    <row r="837" spans="1:17" x14ac:dyDescent="0.2">
      <c r="A837" s="222">
        <f>A836+1</f>
        <v>12</v>
      </c>
      <c r="C837" s="219" t="s">
        <v>213</v>
      </c>
      <c r="D837" s="782">
        <f>Input!K41</f>
        <v>0.69</v>
      </c>
      <c r="E837" s="427">
        <f t="shared" ref="E837:O837" si="263">ROUND(E823*$D$837,2)</f>
        <v>16366.8</v>
      </c>
      <c r="F837" s="427">
        <f t="shared" si="263"/>
        <v>16411.650000000001</v>
      </c>
      <c r="G837" s="427">
        <f t="shared" si="263"/>
        <v>16412.34</v>
      </c>
      <c r="H837" s="427">
        <f t="shared" si="263"/>
        <v>16348.86</v>
      </c>
      <c r="I837" s="427">
        <f t="shared" si="263"/>
        <v>16292.28</v>
      </c>
      <c r="J837" s="427">
        <f t="shared" si="263"/>
        <v>16136.34</v>
      </c>
      <c r="K837" s="427">
        <f t="shared" si="263"/>
        <v>16034.22</v>
      </c>
      <c r="L837" s="427">
        <f t="shared" si="263"/>
        <v>16023.87</v>
      </c>
      <c r="M837" s="427">
        <f t="shared" si="263"/>
        <v>15993.51</v>
      </c>
      <c r="N837" s="427">
        <f t="shared" si="263"/>
        <v>15999.72</v>
      </c>
      <c r="O837" s="427">
        <f t="shared" si="263"/>
        <v>16186.02</v>
      </c>
      <c r="P837" s="427">
        <f>ROUND(P823*$D$837,2)</f>
        <v>16337.13</v>
      </c>
      <c r="Q837" s="427">
        <f>SUM(E837:P837)</f>
        <v>194542.74</v>
      </c>
    </row>
    <row r="838" spans="1:17" x14ac:dyDescent="0.2">
      <c r="A838" s="222">
        <f>A837+1</f>
        <v>13</v>
      </c>
      <c r="C838" s="222" t="s">
        <v>215</v>
      </c>
      <c r="D838" s="782">
        <f>Input!L41</f>
        <v>5.9700000000000003E-2</v>
      </c>
      <c r="E838" s="273">
        <f t="shared" ref="E838:O838" si="264">ROUND(E827*$D$838,2)</f>
        <v>21730.799999999999</v>
      </c>
      <c r="F838" s="273">
        <f t="shared" si="264"/>
        <v>21074.1</v>
      </c>
      <c r="G838" s="273">
        <f t="shared" si="264"/>
        <v>15820.5</v>
      </c>
      <c r="H838" s="273">
        <f t="shared" si="264"/>
        <v>9014.7000000000007</v>
      </c>
      <c r="I838" s="273">
        <f t="shared" si="264"/>
        <v>4238.7</v>
      </c>
      <c r="J838" s="273">
        <f t="shared" si="264"/>
        <v>2029.8</v>
      </c>
      <c r="K838" s="273">
        <f t="shared" si="264"/>
        <v>1432.8</v>
      </c>
      <c r="L838" s="273">
        <f t="shared" si="264"/>
        <v>1373.1</v>
      </c>
      <c r="M838" s="273">
        <f t="shared" si="264"/>
        <v>1492.5</v>
      </c>
      <c r="N838" s="273">
        <f t="shared" si="264"/>
        <v>2328.3000000000002</v>
      </c>
      <c r="O838" s="273">
        <f t="shared" si="264"/>
        <v>6626.7</v>
      </c>
      <c r="P838" s="273">
        <f>ROUND(P827*$D$838,2)</f>
        <v>14745.9</v>
      </c>
      <c r="Q838" s="431">
        <f>SUM(E838:P838)</f>
        <v>101907.9</v>
      </c>
    </row>
    <row r="839" spans="1:17" x14ac:dyDescent="0.2">
      <c r="A839" s="222">
        <f>A838+1</f>
        <v>14</v>
      </c>
      <c r="C839" s="219" t="s">
        <v>216</v>
      </c>
      <c r="E839" s="427">
        <f t="shared" ref="E839:O839" si="265">SUM(E837:E838)</f>
        <v>38097.599999999999</v>
      </c>
      <c r="F839" s="427">
        <f t="shared" si="265"/>
        <v>37485.75</v>
      </c>
      <c r="G839" s="427">
        <f t="shared" si="265"/>
        <v>32232.84</v>
      </c>
      <c r="H839" s="427">
        <f t="shared" si="265"/>
        <v>25363.56</v>
      </c>
      <c r="I839" s="427">
        <f t="shared" si="265"/>
        <v>20530.98</v>
      </c>
      <c r="J839" s="427">
        <f t="shared" si="265"/>
        <v>18166.14</v>
      </c>
      <c r="K839" s="427">
        <f t="shared" si="265"/>
        <v>17467.02</v>
      </c>
      <c r="L839" s="427">
        <f t="shared" si="265"/>
        <v>17396.97</v>
      </c>
      <c r="M839" s="427">
        <f t="shared" si="265"/>
        <v>17486.010000000002</v>
      </c>
      <c r="N839" s="427">
        <f t="shared" si="265"/>
        <v>18328.02</v>
      </c>
      <c r="O839" s="427">
        <f t="shared" si="265"/>
        <v>22812.720000000001</v>
      </c>
      <c r="P839" s="427">
        <f>SUM(P837:P838)</f>
        <v>31083.03</v>
      </c>
      <c r="Q839" s="427">
        <f>SUM(E839:P839)</f>
        <v>296450.64</v>
      </c>
    </row>
    <row r="840" spans="1:17" x14ac:dyDescent="0.2">
      <c r="E840" s="222"/>
      <c r="F840" s="288"/>
      <c r="G840" s="469"/>
      <c r="H840" s="288"/>
      <c r="I840" s="293"/>
      <c r="J840" s="288"/>
      <c r="K840" s="288"/>
    </row>
    <row r="841" spans="1:17" s="301" customFormat="1" ht="10.8" thickBot="1" x14ac:dyDescent="0.25">
      <c r="A841" s="488">
        <f>A839+1</f>
        <v>15</v>
      </c>
      <c r="B841" s="489"/>
      <c r="C841" s="489" t="s">
        <v>205</v>
      </c>
      <c r="D841" s="527"/>
      <c r="E841" s="492">
        <f t="shared" ref="E841:O841" si="266">E834+E839</f>
        <v>1272310</v>
      </c>
      <c r="F841" s="492">
        <f t="shared" si="266"/>
        <v>1247886.8</v>
      </c>
      <c r="G841" s="492">
        <f t="shared" si="266"/>
        <v>1043190.34</v>
      </c>
      <c r="H841" s="492">
        <f t="shared" si="266"/>
        <v>776341.66</v>
      </c>
      <c r="I841" s="492">
        <f t="shared" si="266"/>
        <v>588766.57999999996</v>
      </c>
      <c r="J841" s="492">
        <f t="shared" si="266"/>
        <v>498639.04000000004</v>
      </c>
      <c r="K841" s="492">
        <f t="shared" si="266"/>
        <v>472720.92000000004</v>
      </c>
      <c r="L841" s="492">
        <f t="shared" si="266"/>
        <v>470125.52</v>
      </c>
      <c r="M841" s="492">
        <f t="shared" si="266"/>
        <v>473988.76</v>
      </c>
      <c r="N841" s="492">
        <f t="shared" si="266"/>
        <v>506718.42000000004</v>
      </c>
      <c r="O841" s="492">
        <f t="shared" si="266"/>
        <v>679055.82</v>
      </c>
      <c r="P841" s="492">
        <f>P834+P839</f>
        <v>999361.48</v>
      </c>
      <c r="Q841" s="492">
        <f>SUM(E841:P841)</f>
        <v>9029105.3399999999</v>
      </c>
    </row>
    <row r="842" spans="1:17" ht="10.8" thickTop="1" x14ac:dyDescent="0.2">
      <c r="E842" s="222"/>
      <c r="F842" s="288"/>
      <c r="G842" s="469"/>
      <c r="H842" s="288"/>
      <c r="I842" s="293"/>
      <c r="J842" s="288"/>
      <c r="K842" s="288"/>
    </row>
    <row r="844" spans="1:17" x14ac:dyDescent="0.2">
      <c r="A844" s="222">
        <f>A841+1</f>
        <v>16</v>
      </c>
      <c r="B844" s="219" t="str">
        <f>B234</f>
        <v>GTO</v>
      </c>
      <c r="C844" s="219" t="str">
        <f>C234</f>
        <v>GTS Choice - Commercial</v>
      </c>
    </row>
    <row r="846" spans="1:17" x14ac:dyDescent="0.2">
      <c r="A846" s="222">
        <f>A844+1</f>
        <v>17</v>
      </c>
      <c r="C846" s="223" t="s">
        <v>111</v>
      </c>
    </row>
    <row r="847" spans="1:17" x14ac:dyDescent="0.2">
      <c r="C847" s="223"/>
      <c r="E847" s="222"/>
      <c r="F847" s="288"/>
      <c r="G847" s="469"/>
      <c r="H847" s="288"/>
      <c r="I847" s="293"/>
      <c r="J847" s="288"/>
      <c r="K847" s="288"/>
      <c r="L847" s="288"/>
      <c r="M847" s="288"/>
    </row>
    <row r="848" spans="1:17" x14ac:dyDescent="0.2">
      <c r="A848" s="222">
        <f>A846+1</f>
        <v>18</v>
      </c>
      <c r="C848" s="219" t="s">
        <v>202</v>
      </c>
      <c r="E848" s="472">
        <f>B!D170</f>
        <v>3837</v>
      </c>
      <c r="F848" s="472">
        <f>B!E170</f>
        <v>3809</v>
      </c>
      <c r="G848" s="472">
        <f>B!F170</f>
        <v>4093</v>
      </c>
      <c r="H848" s="472">
        <f>B!G170</f>
        <v>4081</v>
      </c>
      <c r="I848" s="472">
        <f>B!H170</f>
        <v>4058</v>
      </c>
      <c r="J848" s="472">
        <f>B!I170</f>
        <v>4042</v>
      </c>
      <c r="K848" s="472">
        <f>B!J170</f>
        <v>4016</v>
      </c>
      <c r="L848" s="472">
        <f>B!K170</f>
        <v>3956</v>
      </c>
      <c r="M848" s="472">
        <f>B!L170</f>
        <v>3924</v>
      </c>
      <c r="N848" s="472">
        <f>B!M170</f>
        <v>3899</v>
      </c>
      <c r="O848" s="472">
        <f>B!N170</f>
        <v>3877</v>
      </c>
      <c r="P848" s="472">
        <f>B!O170</f>
        <v>3853</v>
      </c>
      <c r="Q848" s="473">
        <f>SUM(E848:P848)</f>
        <v>47445</v>
      </c>
    </row>
    <row r="849" spans="1:17" x14ac:dyDescent="0.2">
      <c r="A849" s="222">
        <f>A848+1</f>
        <v>19</v>
      </c>
      <c r="C849" s="219" t="s">
        <v>210</v>
      </c>
      <c r="D849" s="781">
        <f>Input!H42</f>
        <v>37.5</v>
      </c>
      <c r="E849" s="427">
        <f t="shared" ref="E849:P849" si="267">ROUND(E848*$D$849,2)</f>
        <v>143887.5</v>
      </c>
      <c r="F849" s="427">
        <f t="shared" si="267"/>
        <v>142837.5</v>
      </c>
      <c r="G849" s="427">
        <f t="shared" si="267"/>
        <v>153487.5</v>
      </c>
      <c r="H849" s="427">
        <f t="shared" si="267"/>
        <v>153037.5</v>
      </c>
      <c r="I849" s="427">
        <f t="shared" si="267"/>
        <v>152175</v>
      </c>
      <c r="J849" s="427">
        <f t="shared" si="267"/>
        <v>151575</v>
      </c>
      <c r="K849" s="427">
        <f t="shared" si="267"/>
        <v>150600</v>
      </c>
      <c r="L849" s="427">
        <f t="shared" si="267"/>
        <v>148350</v>
      </c>
      <c r="M849" s="427">
        <f t="shared" si="267"/>
        <v>147150</v>
      </c>
      <c r="N849" s="427">
        <f t="shared" si="267"/>
        <v>146212.5</v>
      </c>
      <c r="O849" s="427">
        <f t="shared" si="267"/>
        <v>145387.5</v>
      </c>
      <c r="P849" s="427">
        <f t="shared" si="267"/>
        <v>144487.5</v>
      </c>
      <c r="Q849" s="427">
        <f>SUM(E849:P849)</f>
        <v>1779187.5</v>
      </c>
    </row>
    <row r="850" spans="1:17" x14ac:dyDescent="0.2">
      <c r="A850" s="222">
        <f>A849+1</f>
        <v>20</v>
      </c>
      <c r="C850" s="219" t="s">
        <v>211</v>
      </c>
      <c r="D850" s="781">
        <f>Input!J42</f>
        <v>8.02</v>
      </c>
      <c r="E850" s="427">
        <f t="shared" ref="E850:P850" si="268">ROUND(E848*$D$850,2)</f>
        <v>30772.74</v>
      </c>
      <c r="F850" s="427">
        <f t="shared" si="268"/>
        <v>30548.18</v>
      </c>
      <c r="G850" s="427">
        <f t="shared" si="268"/>
        <v>32825.86</v>
      </c>
      <c r="H850" s="427">
        <f t="shared" si="268"/>
        <v>32729.62</v>
      </c>
      <c r="I850" s="427">
        <f t="shared" si="268"/>
        <v>32545.16</v>
      </c>
      <c r="J850" s="427">
        <f t="shared" si="268"/>
        <v>32416.84</v>
      </c>
      <c r="K850" s="427">
        <f t="shared" si="268"/>
        <v>32208.32</v>
      </c>
      <c r="L850" s="427">
        <f t="shared" si="268"/>
        <v>31727.119999999999</v>
      </c>
      <c r="M850" s="427">
        <f t="shared" si="268"/>
        <v>31470.48</v>
      </c>
      <c r="N850" s="427">
        <f t="shared" si="268"/>
        <v>31269.98</v>
      </c>
      <c r="O850" s="427">
        <f t="shared" si="268"/>
        <v>31093.54</v>
      </c>
      <c r="P850" s="427">
        <f t="shared" si="268"/>
        <v>30901.06</v>
      </c>
      <c r="Q850" s="427">
        <f>SUM(E850:P850)</f>
        <v>380508.89999999997</v>
      </c>
    </row>
    <row r="851" spans="1:17" x14ac:dyDescent="0.2">
      <c r="D851" s="286"/>
      <c r="E851" s="222"/>
      <c r="F851" s="288"/>
      <c r="G851" s="469"/>
      <c r="H851" s="288"/>
      <c r="I851" s="293"/>
      <c r="J851" s="288"/>
      <c r="K851" s="288"/>
    </row>
    <row r="852" spans="1:17" x14ac:dyDescent="0.2">
      <c r="A852" s="222">
        <f>A850+1</f>
        <v>21</v>
      </c>
      <c r="C852" s="219" t="s">
        <v>209</v>
      </c>
      <c r="D852" s="286"/>
      <c r="E852" s="514"/>
      <c r="F852" s="288"/>
      <c r="G852" s="469"/>
      <c r="H852" s="288"/>
      <c r="I852" s="293"/>
      <c r="J852" s="288"/>
      <c r="K852" s="288"/>
    </row>
    <row r="853" spans="1:17" x14ac:dyDescent="0.2">
      <c r="A853" s="222">
        <f>A852+1</f>
        <v>22</v>
      </c>
      <c r="C853" s="219" t="str">
        <f>'C'!B191</f>
        <v xml:space="preserve">    First 50 Mcf</v>
      </c>
      <c r="D853" s="512"/>
      <c r="E853" s="476">
        <f>'C'!D203</f>
        <v>115248.5</v>
      </c>
      <c r="F853" s="476">
        <f>'C'!E203</f>
        <v>116322.6</v>
      </c>
      <c r="G853" s="476">
        <f>'C'!F203</f>
        <v>106138.4</v>
      </c>
      <c r="H853" s="476">
        <f>'C'!G203</f>
        <v>75878.899999999994</v>
      </c>
      <c r="I853" s="476">
        <f>'C'!H203</f>
        <v>48386.9</v>
      </c>
      <c r="J853" s="476">
        <f>'C'!I203</f>
        <v>34090.9</v>
      </c>
      <c r="K853" s="476">
        <f>'C'!J203</f>
        <v>31140.7</v>
      </c>
      <c r="L853" s="476">
        <f>'C'!K203</f>
        <v>30451.200000000001</v>
      </c>
      <c r="M853" s="476">
        <f>'C'!L203</f>
        <v>32109</v>
      </c>
      <c r="N853" s="476">
        <f>'C'!M203</f>
        <v>40148.199999999997</v>
      </c>
      <c r="O853" s="476">
        <f>'C'!N203</f>
        <v>62458.3</v>
      </c>
      <c r="P853" s="476">
        <f>'C'!O203</f>
        <v>94003.8</v>
      </c>
      <c r="Q853" s="477">
        <f>SUM(E853:P853)</f>
        <v>786377.4</v>
      </c>
    </row>
    <row r="854" spans="1:17" x14ac:dyDescent="0.2">
      <c r="A854" s="222">
        <f>A853+1</f>
        <v>23</v>
      </c>
      <c r="C854" s="219" t="str">
        <f>'C'!B192</f>
        <v xml:space="preserve">    Next 350 Mcf</v>
      </c>
      <c r="D854" s="512"/>
      <c r="E854" s="476">
        <f>'C'!D204</f>
        <v>147158.6</v>
      </c>
      <c r="F854" s="476">
        <f>'C'!E204</f>
        <v>143758.29999999999</v>
      </c>
      <c r="G854" s="476">
        <f>'C'!F204</f>
        <v>103281.1</v>
      </c>
      <c r="H854" s="476">
        <f>'C'!G204</f>
        <v>63376.9</v>
      </c>
      <c r="I854" s="476">
        <f>'C'!H204</f>
        <v>39602.300000000003</v>
      </c>
      <c r="J854" s="476">
        <f>'C'!I204</f>
        <v>30878.400000000001</v>
      </c>
      <c r="K854" s="476">
        <f>'C'!J204</f>
        <v>27567.7</v>
      </c>
      <c r="L854" s="476">
        <f>'C'!K204</f>
        <v>26232.9</v>
      </c>
      <c r="M854" s="476">
        <f>'C'!L204</f>
        <v>28470.1</v>
      </c>
      <c r="N854" s="476">
        <f>'C'!M204</f>
        <v>38563.300000000003</v>
      </c>
      <c r="O854" s="476">
        <f>'C'!N204</f>
        <v>57697.599999999999</v>
      </c>
      <c r="P854" s="476">
        <f>'C'!O204</f>
        <v>100340.5</v>
      </c>
      <c r="Q854" s="477">
        <f>SUM(E854:P854)</f>
        <v>806927.7</v>
      </c>
    </row>
    <row r="855" spans="1:17" x14ac:dyDescent="0.2">
      <c r="A855" s="222">
        <f>A854+1</f>
        <v>24</v>
      </c>
      <c r="C855" s="219" t="str">
        <f>'C'!B193</f>
        <v xml:space="preserve">    Next 600 Mcf</v>
      </c>
      <c r="D855" s="512"/>
      <c r="E855" s="476">
        <f>'C'!D205</f>
        <v>37085</v>
      </c>
      <c r="F855" s="476">
        <f>'C'!E205</f>
        <v>34041.199999999997</v>
      </c>
      <c r="G855" s="476">
        <f>'C'!F205</f>
        <v>18666.5</v>
      </c>
      <c r="H855" s="476">
        <f>'C'!G205</f>
        <v>11741.5</v>
      </c>
      <c r="I855" s="476">
        <f>'C'!H205</f>
        <v>6797.7</v>
      </c>
      <c r="J855" s="476">
        <f>'C'!I205</f>
        <v>6188.9</v>
      </c>
      <c r="K855" s="476">
        <f>'C'!J205</f>
        <v>5312.4</v>
      </c>
      <c r="L855" s="476">
        <f>'C'!K205</f>
        <v>5525.8</v>
      </c>
      <c r="M855" s="476">
        <f>'C'!L205</f>
        <v>6310.6</v>
      </c>
      <c r="N855" s="476">
        <f>'C'!M205</f>
        <v>8979.6</v>
      </c>
      <c r="O855" s="476">
        <f>'C'!N205</f>
        <v>14083</v>
      </c>
      <c r="P855" s="476">
        <f>'C'!O205</f>
        <v>24521.200000000001</v>
      </c>
      <c r="Q855" s="477">
        <f>SUM(E855:P855)</f>
        <v>179253.4</v>
      </c>
    </row>
    <row r="856" spans="1:17" x14ac:dyDescent="0.2">
      <c r="A856" s="222">
        <f>A855+1</f>
        <v>25</v>
      </c>
      <c r="C856" s="219" t="str">
        <f>'C'!B194</f>
        <v xml:space="preserve">    Over 1,000 Mcf</v>
      </c>
      <c r="D856" s="529"/>
      <c r="E856" s="515">
        <f>'C'!D206</f>
        <v>22508.7</v>
      </c>
      <c r="F856" s="515">
        <f>'C'!E206</f>
        <v>17880.3</v>
      </c>
      <c r="G856" s="515">
        <f>'C'!F206</f>
        <v>7915.1</v>
      </c>
      <c r="H856" s="515">
        <f>'C'!G206</f>
        <v>4006.6</v>
      </c>
      <c r="I856" s="515">
        <f>'C'!H206</f>
        <v>2211.6999999999998</v>
      </c>
      <c r="J856" s="515">
        <f>'C'!I206</f>
        <v>2841.9</v>
      </c>
      <c r="K856" s="515">
        <f>'C'!J206</f>
        <v>1978.2</v>
      </c>
      <c r="L856" s="515">
        <f>'C'!K206</f>
        <v>1791.2</v>
      </c>
      <c r="M856" s="515">
        <f>'C'!L206</f>
        <v>2108.3000000000002</v>
      </c>
      <c r="N856" s="515">
        <f>'C'!M206</f>
        <v>3303.5</v>
      </c>
      <c r="O856" s="515">
        <f>'C'!N206</f>
        <v>5755.8</v>
      </c>
      <c r="P856" s="515">
        <f>'C'!O206</f>
        <v>15131</v>
      </c>
      <c r="Q856" s="515">
        <f>SUM(E856:P856)</f>
        <v>87432.3</v>
      </c>
    </row>
    <row r="857" spans="1:17" x14ac:dyDescent="0.2">
      <c r="D857" s="529"/>
      <c r="E857" s="476">
        <f t="shared" ref="E857:O857" si="269">SUM(E853:E856)</f>
        <v>322000.8</v>
      </c>
      <c r="F857" s="476">
        <f t="shared" si="269"/>
        <v>312002.39999999997</v>
      </c>
      <c r="G857" s="476">
        <f t="shared" si="269"/>
        <v>236001.1</v>
      </c>
      <c r="H857" s="476">
        <f t="shared" si="269"/>
        <v>155003.9</v>
      </c>
      <c r="I857" s="476">
        <f t="shared" si="269"/>
        <v>96998.6</v>
      </c>
      <c r="J857" s="476">
        <f t="shared" si="269"/>
        <v>74000.099999999991</v>
      </c>
      <c r="K857" s="476">
        <f t="shared" si="269"/>
        <v>65999</v>
      </c>
      <c r="L857" s="476">
        <f t="shared" si="269"/>
        <v>64001.100000000006</v>
      </c>
      <c r="M857" s="476">
        <f t="shared" si="269"/>
        <v>68998</v>
      </c>
      <c r="N857" s="476">
        <f t="shared" si="269"/>
        <v>90994.6</v>
      </c>
      <c r="O857" s="476">
        <f t="shared" si="269"/>
        <v>139994.69999999998</v>
      </c>
      <c r="P857" s="476">
        <f>SUM(P853:P856)</f>
        <v>233996.5</v>
      </c>
      <c r="Q857" s="476">
        <f>SUM(E857:P857)</f>
        <v>1859990.8000000003</v>
      </c>
    </row>
    <row r="858" spans="1:17" x14ac:dyDescent="0.2">
      <c r="A858" s="222">
        <f>A856+1</f>
        <v>26</v>
      </c>
      <c r="C858" s="219" t="s">
        <v>207</v>
      </c>
      <c r="D858" s="529"/>
      <c r="E858" s="222"/>
      <c r="F858" s="288"/>
      <c r="G858" s="469"/>
      <c r="H858" s="288"/>
      <c r="I858" s="293"/>
      <c r="J858" s="288"/>
      <c r="K858" s="288"/>
      <c r="Q858" s="517"/>
    </row>
    <row r="859" spans="1:17" x14ac:dyDescent="0.2">
      <c r="A859" s="222">
        <f>A858+1</f>
        <v>27</v>
      </c>
      <c r="C859" s="219" t="str">
        <f>C853</f>
        <v xml:space="preserve">    First 50 Mcf</v>
      </c>
      <c r="D859" s="782">
        <f>Input!C42</f>
        <v>2.2665999999999999</v>
      </c>
      <c r="E859" s="427">
        <f t="shared" ref="E859:P859" si="270">ROUND(E853*$D$859,2)</f>
        <v>261222.25</v>
      </c>
      <c r="F859" s="427">
        <f t="shared" si="270"/>
        <v>263656.81</v>
      </c>
      <c r="G859" s="427">
        <f t="shared" si="270"/>
        <v>240573.3</v>
      </c>
      <c r="H859" s="427">
        <f t="shared" si="270"/>
        <v>171987.11</v>
      </c>
      <c r="I859" s="427">
        <f t="shared" si="270"/>
        <v>109673.75</v>
      </c>
      <c r="J859" s="427">
        <f t="shared" si="270"/>
        <v>77270.429999999993</v>
      </c>
      <c r="K859" s="427">
        <f t="shared" si="270"/>
        <v>70583.509999999995</v>
      </c>
      <c r="L859" s="427">
        <f t="shared" si="270"/>
        <v>69020.69</v>
      </c>
      <c r="M859" s="427">
        <f t="shared" si="270"/>
        <v>72778.259999999995</v>
      </c>
      <c r="N859" s="427">
        <f t="shared" si="270"/>
        <v>90999.91</v>
      </c>
      <c r="O859" s="427">
        <f t="shared" si="270"/>
        <v>141567.98000000001</v>
      </c>
      <c r="P859" s="427">
        <f t="shared" si="270"/>
        <v>213069.01</v>
      </c>
      <c r="Q859" s="427">
        <f>SUM(E859:P859)</f>
        <v>1782403.01</v>
      </c>
    </row>
    <row r="860" spans="1:17" x14ac:dyDescent="0.2">
      <c r="A860" s="222">
        <f>A859+1</f>
        <v>28</v>
      </c>
      <c r="C860" s="219" t="str">
        <f>C854</f>
        <v xml:space="preserve">    Next 350 Mcf</v>
      </c>
      <c r="D860" s="782">
        <f>Input!D42</f>
        <v>1.752</v>
      </c>
      <c r="E860" s="472">
        <f t="shared" ref="E860:P860" si="271">ROUND(E854*$D$860,2)</f>
        <v>257821.87</v>
      </c>
      <c r="F860" s="472">
        <f t="shared" si="271"/>
        <v>251864.54</v>
      </c>
      <c r="G860" s="472">
        <f t="shared" si="271"/>
        <v>180948.49</v>
      </c>
      <c r="H860" s="472">
        <f t="shared" si="271"/>
        <v>111036.33</v>
      </c>
      <c r="I860" s="472">
        <f t="shared" si="271"/>
        <v>69383.23</v>
      </c>
      <c r="J860" s="472">
        <f t="shared" si="271"/>
        <v>54098.96</v>
      </c>
      <c r="K860" s="472">
        <f t="shared" si="271"/>
        <v>48298.61</v>
      </c>
      <c r="L860" s="472">
        <f t="shared" si="271"/>
        <v>45960.04</v>
      </c>
      <c r="M860" s="472">
        <f t="shared" si="271"/>
        <v>49879.62</v>
      </c>
      <c r="N860" s="472">
        <f t="shared" si="271"/>
        <v>67562.899999999994</v>
      </c>
      <c r="O860" s="472">
        <f t="shared" si="271"/>
        <v>101086.2</v>
      </c>
      <c r="P860" s="472">
        <f t="shared" si="271"/>
        <v>175796.56</v>
      </c>
      <c r="Q860" s="473">
        <f>SUM(E860:P860)</f>
        <v>1413737.3499999999</v>
      </c>
    </row>
    <row r="861" spans="1:17" x14ac:dyDescent="0.2">
      <c r="A861" s="222">
        <f>A860+1</f>
        <v>29</v>
      </c>
      <c r="C861" s="219" t="str">
        <f>C855</f>
        <v xml:space="preserve">    Next 600 Mcf</v>
      </c>
      <c r="D861" s="782">
        <f>Input!E42</f>
        <v>1.6658999999999999</v>
      </c>
      <c r="E861" s="472">
        <f t="shared" ref="E861:P861" si="272">ROUND(E855*$D$861,2)</f>
        <v>61779.9</v>
      </c>
      <c r="F861" s="472">
        <f t="shared" si="272"/>
        <v>56709.24</v>
      </c>
      <c r="G861" s="472">
        <f t="shared" si="272"/>
        <v>31096.52</v>
      </c>
      <c r="H861" s="472">
        <f t="shared" si="272"/>
        <v>19560.16</v>
      </c>
      <c r="I861" s="472">
        <f t="shared" si="272"/>
        <v>11324.29</v>
      </c>
      <c r="J861" s="472">
        <f t="shared" si="272"/>
        <v>10310.09</v>
      </c>
      <c r="K861" s="472">
        <f t="shared" si="272"/>
        <v>8849.93</v>
      </c>
      <c r="L861" s="472">
        <f t="shared" si="272"/>
        <v>9205.43</v>
      </c>
      <c r="M861" s="472">
        <f t="shared" si="272"/>
        <v>10512.83</v>
      </c>
      <c r="N861" s="472">
        <f t="shared" si="272"/>
        <v>14959.12</v>
      </c>
      <c r="O861" s="472">
        <f t="shared" si="272"/>
        <v>23460.87</v>
      </c>
      <c r="P861" s="472">
        <f t="shared" si="272"/>
        <v>40849.870000000003</v>
      </c>
      <c r="Q861" s="473">
        <f>SUM(E861:P861)</f>
        <v>298618.25</v>
      </c>
    </row>
    <row r="862" spans="1:17" x14ac:dyDescent="0.2">
      <c r="A862" s="222">
        <f>A861+1</f>
        <v>30</v>
      </c>
      <c r="C862" s="219" t="str">
        <f>C856</f>
        <v xml:space="preserve">    Over 1,000 Mcf</v>
      </c>
      <c r="D862" s="782">
        <f>Input!F42</f>
        <v>1.5164</v>
      </c>
      <c r="E862" s="521">
        <f t="shared" ref="E862:P862" si="273">ROUND(E856*$D$862,2)</f>
        <v>34132.19</v>
      </c>
      <c r="F862" s="521">
        <f t="shared" si="273"/>
        <v>27113.69</v>
      </c>
      <c r="G862" s="521">
        <f t="shared" si="273"/>
        <v>12002.46</v>
      </c>
      <c r="H862" s="521">
        <f t="shared" si="273"/>
        <v>6075.61</v>
      </c>
      <c r="I862" s="521">
        <f t="shared" si="273"/>
        <v>3353.82</v>
      </c>
      <c r="J862" s="521">
        <f t="shared" si="273"/>
        <v>4309.46</v>
      </c>
      <c r="K862" s="521">
        <f t="shared" si="273"/>
        <v>2999.74</v>
      </c>
      <c r="L862" s="521">
        <f t="shared" si="273"/>
        <v>2716.18</v>
      </c>
      <c r="M862" s="521">
        <f t="shared" si="273"/>
        <v>3197.03</v>
      </c>
      <c r="N862" s="521">
        <f t="shared" si="273"/>
        <v>5009.43</v>
      </c>
      <c r="O862" s="521">
        <f t="shared" si="273"/>
        <v>8728.1</v>
      </c>
      <c r="P862" s="521">
        <f t="shared" si="273"/>
        <v>22944.65</v>
      </c>
      <c r="Q862" s="521">
        <f>SUM(E862:P862)</f>
        <v>132582.36000000002</v>
      </c>
    </row>
    <row r="863" spans="1:17" x14ac:dyDescent="0.2">
      <c r="D863" s="286"/>
      <c r="E863" s="427">
        <f t="shared" ref="E863:O863" si="274">SUM(E859:E862)</f>
        <v>614956.21</v>
      </c>
      <c r="F863" s="427">
        <f t="shared" si="274"/>
        <v>599344.27999999991</v>
      </c>
      <c r="G863" s="427">
        <f t="shared" si="274"/>
        <v>464620.77</v>
      </c>
      <c r="H863" s="427">
        <f t="shared" si="274"/>
        <v>308659.20999999996</v>
      </c>
      <c r="I863" s="427">
        <f t="shared" si="274"/>
        <v>193735.09</v>
      </c>
      <c r="J863" s="427">
        <f t="shared" si="274"/>
        <v>145988.93999999997</v>
      </c>
      <c r="K863" s="427">
        <f t="shared" si="274"/>
        <v>130731.79</v>
      </c>
      <c r="L863" s="427">
        <f t="shared" si="274"/>
        <v>126902.34</v>
      </c>
      <c r="M863" s="427">
        <f t="shared" si="274"/>
        <v>136367.74</v>
      </c>
      <c r="N863" s="427">
        <f t="shared" si="274"/>
        <v>178531.36</v>
      </c>
      <c r="O863" s="427">
        <f t="shared" si="274"/>
        <v>274843.14999999997</v>
      </c>
      <c r="P863" s="427">
        <f>SUM(P859:P862)</f>
        <v>452660.09</v>
      </c>
      <c r="Q863" s="427">
        <f>SUM(E863:P863)</f>
        <v>3627340.9699999988</v>
      </c>
    </row>
    <row r="864" spans="1:17" x14ac:dyDescent="0.2">
      <c r="D864" s="286"/>
      <c r="E864" s="288"/>
      <c r="F864" s="288"/>
      <c r="G864" s="288"/>
      <c r="H864" s="288"/>
      <c r="I864" s="288"/>
      <c r="J864" s="288"/>
      <c r="K864" s="288"/>
      <c r="L864" s="288"/>
      <c r="M864" s="288"/>
      <c r="N864" s="288"/>
      <c r="O864" s="288"/>
      <c r="P864" s="288"/>
      <c r="Q864" s="288"/>
    </row>
    <row r="865" spans="1:17" x14ac:dyDescent="0.2">
      <c r="A865" s="222">
        <f>A862+1</f>
        <v>31</v>
      </c>
      <c r="C865" s="219" t="s">
        <v>204</v>
      </c>
      <c r="D865" s="286"/>
      <c r="E865" s="427">
        <f t="shared" ref="E865:O865" si="275">E849+E850+E863</f>
        <v>789616.45</v>
      </c>
      <c r="F865" s="427">
        <f t="shared" si="275"/>
        <v>772729.96</v>
      </c>
      <c r="G865" s="427">
        <f t="shared" si="275"/>
        <v>650934.13</v>
      </c>
      <c r="H865" s="427">
        <f t="shared" si="275"/>
        <v>494426.32999999996</v>
      </c>
      <c r="I865" s="427">
        <f t="shared" si="275"/>
        <v>378455.25</v>
      </c>
      <c r="J865" s="427">
        <f t="shared" si="275"/>
        <v>329980.77999999997</v>
      </c>
      <c r="K865" s="427">
        <f t="shared" si="275"/>
        <v>313540.11</v>
      </c>
      <c r="L865" s="427">
        <f t="shared" si="275"/>
        <v>306979.45999999996</v>
      </c>
      <c r="M865" s="427">
        <f t="shared" si="275"/>
        <v>314988.21999999997</v>
      </c>
      <c r="N865" s="427">
        <f t="shared" si="275"/>
        <v>356013.83999999997</v>
      </c>
      <c r="O865" s="427">
        <f t="shared" si="275"/>
        <v>451324.18999999994</v>
      </c>
      <c r="P865" s="427">
        <f>P849+P850+P863</f>
        <v>628048.65</v>
      </c>
      <c r="Q865" s="427">
        <f>SUM(E865:P865)</f>
        <v>5787037.3699999992</v>
      </c>
    </row>
    <row r="866" spans="1:17" x14ac:dyDescent="0.2">
      <c r="D866" s="222"/>
      <c r="E866" s="466"/>
      <c r="F866" s="466"/>
      <c r="G866" s="466"/>
      <c r="H866" s="466"/>
      <c r="I866" s="466"/>
      <c r="J866" s="466"/>
      <c r="K866" s="466"/>
      <c r="L866" s="466"/>
      <c r="M866" s="466"/>
      <c r="N866" s="466"/>
      <c r="O866" s="466"/>
      <c r="P866" s="466"/>
      <c r="Q866" s="466"/>
    </row>
    <row r="867" spans="1:17" x14ac:dyDescent="0.2">
      <c r="A867" s="222">
        <f>A865+1</f>
        <v>32</v>
      </c>
      <c r="C867" s="219" t="s">
        <v>151</v>
      </c>
      <c r="D867" s="783">
        <v>0</v>
      </c>
      <c r="E867" s="510">
        <v>0</v>
      </c>
      <c r="F867" s="510">
        <v>0</v>
      </c>
      <c r="G867" s="510">
        <v>0</v>
      </c>
      <c r="H867" s="510">
        <v>0</v>
      </c>
      <c r="I867" s="510">
        <v>0</v>
      </c>
      <c r="J867" s="510">
        <v>0</v>
      </c>
      <c r="K867" s="510">
        <v>0</v>
      </c>
      <c r="L867" s="510">
        <v>0</v>
      </c>
      <c r="M867" s="510">
        <v>0</v>
      </c>
      <c r="N867" s="510">
        <v>0</v>
      </c>
      <c r="O867" s="510">
        <v>0</v>
      </c>
      <c r="P867" s="510">
        <v>0</v>
      </c>
      <c r="Q867" s="427">
        <f>SUM(E867:P867)</f>
        <v>0</v>
      </c>
    </row>
    <row r="868" spans="1:17" x14ac:dyDescent="0.2">
      <c r="E868" s="466"/>
      <c r="F868" s="466"/>
      <c r="G868" s="466"/>
      <c r="H868" s="466"/>
      <c r="I868" s="466"/>
      <c r="J868" s="466"/>
      <c r="K868" s="466"/>
      <c r="L868" s="466"/>
      <c r="M868" s="466"/>
      <c r="N868" s="459"/>
      <c r="O868" s="459"/>
      <c r="P868" s="459"/>
      <c r="Q868" s="459"/>
    </row>
    <row r="869" spans="1:17" ht="10.8" thickBot="1" x14ac:dyDescent="0.25">
      <c r="A869" s="488">
        <f>A867+1</f>
        <v>33</v>
      </c>
      <c r="B869" s="489"/>
      <c r="C869" s="489" t="s">
        <v>205</v>
      </c>
      <c r="D869" s="490"/>
      <c r="E869" s="492">
        <f t="shared" ref="E869:O869" si="276">E865+E867</f>
        <v>789616.45</v>
      </c>
      <c r="F869" s="492">
        <f t="shared" si="276"/>
        <v>772729.96</v>
      </c>
      <c r="G869" s="492">
        <f t="shared" si="276"/>
        <v>650934.13</v>
      </c>
      <c r="H869" s="492">
        <f t="shared" si="276"/>
        <v>494426.32999999996</v>
      </c>
      <c r="I869" s="492">
        <f t="shared" si="276"/>
        <v>378455.25</v>
      </c>
      <c r="J869" s="492">
        <f t="shared" si="276"/>
        <v>329980.77999999997</v>
      </c>
      <c r="K869" s="492">
        <f t="shared" si="276"/>
        <v>313540.11</v>
      </c>
      <c r="L869" s="492">
        <f t="shared" si="276"/>
        <v>306979.45999999996</v>
      </c>
      <c r="M869" s="492">
        <f t="shared" si="276"/>
        <v>314988.21999999997</v>
      </c>
      <c r="N869" s="492">
        <f t="shared" si="276"/>
        <v>356013.83999999997</v>
      </c>
      <c r="O869" s="492">
        <f t="shared" si="276"/>
        <v>451324.18999999994</v>
      </c>
      <c r="P869" s="492">
        <f>P865+P867</f>
        <v>628048.65</v>
      </c>
      <c r="Q869" s="492">
        <f>SUM(E869:P869)</f>
        <v>5787037.3699999992</v>
      </c>
    </row>
    <row r="870" spans="1:17" ht="10.8" thickTop="1" x14ac:dyDescent="0.2">
      <c r="E870" s="222"/>
      <c r="F870" s="288"/>
      <c r="G870" s="469"/>
      <c r="H870" s="288"/>
      <c r="I870" s="293"/>
      <c r="J870" s="288"/>
      <c r="K870" s="288"/>
      <c r="L870" s="288"/>
      <c r="M870" s="288"/>
      <c r="Q870" s="412"/>
    </row>
    <row r="871" spans="1:17" x14ac:dyDescent="0.2">
      <c r="E871" s="222"/>
      <c r="F871" s="288"/>
      <c r="G871" s="469"/>
      <c r="H871" s="288"/>
      <c r="I871" s="293"/>
      <c r="J871" s="288"/>
      <c r="K871" s="288"/>
      <c r="L871" s="288"/>
      <c r="M871" s="288"/>
      <c r="Q871" s="412"/>
    </row>
    <row r="872" spans="1:17" x14ac:dyDescent="0.2">
      <c r="A872" s="222" t="str">
        <f>$A$270</f>
        <v>[1] Reflects Normalized Volumes.</v>
      </c>
      <c r="E872" s="222"/>
      <c r="F872" s="288"/>
      <c r="G872" s="469"/>
      <c r="H872" s="288"/>
      <c r="I872" s="293"/>
      <c r="J872" s="288"/>
      <c r="K872" s="288"/>
      <c r="L872" s="288"/>
      <c r="M872" s="288"/>
      <c r="Q872" s="412"/>
    </row>
    <row r="873" spans="1:17" x14ac:dyDescent="0.2">
      <c r="E873" s="222"/>
      <c r="F873" s="288"/>
      <c r="G873" s="469"/>
      <c r="H873" s="288"/>
      <c r="I873" s="293"/>
      <c r="J873" s="288"/>
      <c r="K873" s="288"/>
      <c r="L873" s="288"/>
      <c r="M873" s="288"/>
    </row>
    <row r="874" spans="1:17" x14ac:dyDescent="0.2">
      <c r="A874" s="993" t="str">
        <f>CONAME</f>
        <v>Columbia Gas of Kentucky, Inc.</v>
      </c>
      <c r="B874" s="993"/>
      <c r="C874" s="993"/>
      <c r="D874" s="993"/>
      <c r="E874" s="993"/>
      <c r="F874" s="993"/>
      <c r="G874" s="993"/>
      <c r="H874" s="993"/>
      <c r="I874" s="993"/>
      <c r="J874" s="993"/>
      <c r="K874" s="993"/>
      <c r="L874" s="993"/>
      <c r="M874" s="993"/>
      <c r="N874" s="993"/>
      <c r="O874" s="993"/>
      <c r="P874" s="993"/>
      <c r="Q874" s="993"/>
    </row>
    <row r="875" spans="1:17" x14ac:dyDescent="0.2">
      <c r="A875" s="981" t="str">
        <f>case</f>
        <v>Case No. 2016-00162</v>
      </c>
      <c r="B875" s="981"/>
      <c r="C875" s="981"/>
      <c r="D875" s="981"/>
      <c r="E875" s="981"/>
      <c r="F875" s="981"/>
      <c r="G875" s="981"/>
      <c r="H875" s="981"/>
      <c r="I875" s="981"/>
      <c r="J875" s="981"/>
      <c r="K875" s="981"/>
      <c r="L875" s="981"/>
      <c r="M875" s="981"/>
      <c r="N875" s="981"/>
      <c r="O875" s="981"/>
      <c r="P875" s="981"/>
      <c r="Q875" s="981"/>
    </row>
    <row r="876" spans="1:17" x14ac:dyDescent="0.2">
      <c r="A876" s="994" t="s">
        <v>494</v>
      </c>
      <c r="B876" s="994"/>
      <c r="C876" s="994"/>
      <c r="D876" s="994"/>
      <c r="E876" s="994"/>
      <c r="F876" s="994"/>
      <c r="G876" s="994"/>
      <c r="H876" s="994"/>
      <c r="I876" s="994"/>
      <c r="J876" s="994"/>
      <c r="K876" s="994"/>
      <c r="L876" s="994"/>
      <c r="M876" s="994"/>
      <c r="N876" s="994"/>
      <c r="O876" s="994"/>
      <c r="P876" s="994"/>
      <c r="Q876" s="994"/>
    </row>
    <row r="877" spans="1:17" x14ac:dyDescent="0.2">
      <c r="A877" s="993" t="str">
        <f>TYDESC</f>
        <v>For the 12 Months Ended December 31, 2017</v>
      </c>
      <c r="B877" s="993"/>
      <c r="C877" s="993"/>
      <c r="D877" s="993"/>
      <c r="E877" s="993"/>
      <c r="F877" s="993"/>
      <c r="G877" s="993"/>
      <c r="H877" s="993"/>
      <c r="I877" s="993"/>
      <c r="J877" s="993"/>
      <c r="K877" s="993"/>
      <c r="L877" s="993"/>
      <c r="M877" s="993"/>
      <c r="N877" s="993"/>
      <c r="O877" s="993"/>
      <c r="P877" s="993"/>
      <c r="Q877" s="993"/>
    </row>
    <row r="878" spans="1:17" x14ac:dyDescent="0.2">
      <c r="A878" s="991" t="s">
        <v>39</v>
      </c>
      <c r="B878" s="991"/>
      <c r="C878" s="991"/>
      <c r="D878" s="991"/>
      <c r="E878" s="991"/>
      <c r="F878" s="991"/>
      <c r="G878" s="991"/>
      <c r="H878" s="991"/>
      <c r="I878" s="991"/>
      <c r="J878" s="991"/>
      <c r="K878" s="991"/>
      <c r="L878" s="991"/>
      <c r="M878" s="991"/>
      <c r="N878" s="991"/>
      <c r="O878" s="991"/>
      <c r="P878" s="991"/>
      <c r="Q878" s="991"/>
    </row>
    <row r="879" spans="1:17" x14ac:dyDescent="0.2">
      <c r="A879" s="262" t="str">
        <f>$A$52</f>
        <v>Data: __ Base Period _X_ Forecasted Period</v>
      </c>
    </row>
    <row r="880" spans="1:17" x14ac:dyDescent="0.2">
      <c r="A880" s="262" t="str">
        <f>$A$53</f>
        <v>Type of Filing: X Original _ Update _ Revised</v>
      </c>
      <c r="Q880" s="413" t="str">
        <f>$Q$53</f>
        <v>Schedule M-2.2</v>
      </c>
    </row>
    <row r="881" spans="1:17" x14ac:dyDescent="0.2">
      <c r="A881" s="262" t="str">
        <f>$A$54</f>
        <v>Work Paper Reference No(s):</v>
      </c>
      <c r="Q881" s="413" t="s">
        <v>505</v>
      </c>
    </row>
    <row r="882" spans="1:17" x14ac:dyDescent="0.2">
      <c r="A882" s="414" t="str">
        <f>$A$55</f>
        <v>12 Months Forecasted</v>
      </c>
      <c r="Q882" s="413" t="str">
        <f>Witness</f>
        <v>Witness:  M. J. Bell</v>
      </c>
    </row>
    <row r="883" spans="1:17" x14ac:dyDescent="0.2">
      <c r="A883" s="992" t="s">
        <v>194</v>
      </c>
      <c r="B883" s="992"/>
      <c r="C883" s="992"/>
      <c r="D883" s="992"/>
      <c r="E883" s="992"/>
      <c r="F883" s="992"/>
      <c r="G883" s="992"/>
      <c r="H883" s="992"/>
      <c r="I883" s="992"/>
      <c r="J883" s="992"/>
      <c r="K883" s="992"/>
      <c r="L883" s="992"/>
      <c r="M883" s="992"/>
      <c r="N883" s="992"/>
      <c r="O883" s="992"/>
      <c r="P883" s="992"/>
      <c r="Q883" s="992"/>
    </row>
    <row r="884" spans="1:17" x14ac:dyDescent="0.2">
      <c r="A884" s="433"/>
      <c r="B884" s="301"/>
      <c r="C884" s="301"/>
      <c r="D884" s="300"/>
      <c r="E884" s="301"/>
      <c r="F884" s="415"/>
      <c r="G884" s="435"/>
      <c r="H884" s="415"/>
      <c r="I884" s="436"/>
      <c r="J884" s="415"/>
      <c r="K884" s="415"/>
      <c r="L884" s="415"/>
      <c r="M884" s="415"/>
      <c r="N884" s="415"/>
      <c r="O884" s="415"/>
      <c r="P884" s="415"/>
      <c r="Q884" s="301"/>
    </row>
    <row r="885" spans="1:17" x14ac:dyDescent="0.2">
      <c r="A885" s="787" t="s">
        <v>1</v>
      </c>
      <c r="B885" s="789" t="s">
        <v>0</v>
      </c>
      <c r="C885" s="789" t="s">
        <v>41</v>
      </c>
      <c r="D885" s="792" t="s">
        <v>47</v>
      </c>
      <c r="E885" s="789"/>
      <c r="F885" s="417"/>
      <c r="G885" s="418"/>
      <c r="H885" s="417"/>
      <c r="I885" s="791"/>
      <c r="J885" s="417"/>
      <c r="K885" s="417"/>
      <c r="L885" s="417"/>
      <c r="M885" s="417"/>
      <c r="N885" s="417"/>
      <c r="O885" s="417"/>
      <c r="P885" s="417"/>
      <c r="Q885" s="790"/>
    </row>
    <row r="886" spans="1:17" x14ac:dyDescent="0.2">
      <c r="A886" s="281" t="s">
        <v>3</v>
      </c>
      <c r="B886" s="226" t="s">
        <v>40</v>
      </c>
      <c r="C886" s="226" t="s">
        <v>4</v>
      </c>
      <c r="D886" s="420" t="s">
        <v>48</v>
      </c>
      <c r="E886" s="421" t="str">
        <f>B!$D$11</f>
        <v>Jan-17</v>
      </c>
      <c r="F886" s="421" t="str">
        <f>B!$E$11</f>
        <v>Feb-17</v>
      </c>
      <c r="G886" s="421" t="str">
        <f>B!$F$11</f>
        <v>Mar-17</v>
      </c>
      <c r="H886" s="421" t="str">
        <f>B!$G$11</f>
        <v>Apr-17</v>
      </c>
      <c r="I886" s="421" t="str">
        <f>B!$H$11</f>
        <v>May-17</v>
      </c>
      <c r="J886" s="421" t="str">
        <f>B!$I$11</f>
        <v>Jun-17</v>
      </c>
      <c r="K886" s="421" t="str">
        <f>B!$J$11</f>
        <v>Jul-17</v>
      </c>
      <c r="L886" s="421" t="str">
        <f>B!$K$11</f>
        <v>Aug-17</v>
      </c>
      <c r="M886" s="421" t="str">
        <f>B!$L$11</f>
        <v>Sep-17</v>
      </c>
      <c r="N886" s="421" t="str">
        <f>B!$M$11</f>
        <v>Oct-17</v>
      </c>
      <c r="O886" s="421" t="str">
        <f>B!$N$11</f>
        <v>Nov-17</v>
      </c>
      <c r="P886" s="421" t="str">
        <f>B!$O$11</f>
        <v>Dec-17</v>
      </c>
      <c r="Q886" s="422" t="s">
        <v>9</v>
      </c>
    </row>
    <row r="887" spans="1:17" x14ac:dyDescent="0.2">
      <c r="A887" s="787"/>
      <c r="B887" s="790" t="s">
        <v>42</v>
      </c>
      <c r="C887" s="790" t="s">
        <v>43</v>
      </c>
      <c r="D887" s="423" t="s">
        <v>45</v>
      </c>
      <c r="E887" s="424" t="s">
        <v>46</v>
      </c>
      <c r="F887" s="424" t="s">
        <v>49</v>
      </c>
      <c r="G887" s="424" t="s">
        <v>50</v>
      </c>
      <c r="H887" s="424" t="s">
        <v>51</v>
      </c>
      <c r="I887" s="424" t="s">
        <v>52</v>
      </c>
      <c r="J887" s="424" t="s">
        <v>53</v>
      </c>
      <c r="K887" s="425" t="s">
        <v>54</v>
      </c>
      <c r="L887" s="425" t="s">
        <v>55</v>
      </c>
      <c r="M887" s="425" t="s">
        <v>56</v>
      </c>
      <c r="N887" s="425" t="s">
        <v>57</v>
      </c>
      <c r="O887" s="425" t="s">
        <v>58</v>
      </c>
      <c r="P887" s="425" t="s">
        <v>59</v>
      </c>
      <c r="Q887" s="425" t="s">
        <v>203</v>
      </c>
    </row>
    <row r="888" spans="1:17" x14ac:dyDescent="0.2">
      <c r="E888" s="222"/>
      <c r="F888" s="288"/>
      <c r="G888" s="469"/>
      <c r="H888" s="288"/>
      <c r="I888" s="293"/>
      <c r="J888" s="288"/>
      <c r="K888" s="288"/>
      <c r="L888" s="288"/>
      <c r="M888" s="288"/>
    </row>
    <row r="889" spans="1:17" x14ac:dyDescent="0.2">
      <c r="A889" s="222">
        <v>1</v>
      </c>
      <c r="B889" s="219" t="str">
        <f>B241</f>
        <v>GTO</v>
      </c>
      <c r="C889" s="219" t="str">
        <f>C241</f>
        <v>GTS Choice - Industrial</v>
      </c>
    </row>
    <row r="891" spans="1:17" x14ac:dyDescent="0.2">
      <c r="A891" s="222">
        <f>A889+1</f>
        <v>2</v>
      </c>
      <c r="C891" s="223" t="s">
        <v>112</v>
      </c>
    </row>
    <row r="892" spans="1:17" x14ac:dyDescent="0.2">
      <c r="C892" s="223"/>
    </row>
    <row r="893" spans="1:17" x14ac:dyDescent="0.2">
      <c r="A893" s="222">
        <f>A891+1</f>
        <v>3</v>
      </c>
      <c r="C893" s="219" t="s">
        <v>202</v>
      </c>
      <c r="E893" s="472">
        <f>B!D176</f>
        <v>13</v>
      </c>
      <c r="F893" s="472">
        <f>B!E176</f>
        <v>13</v>
      </c>
      <c r="G893" s="472">
        <f>B!F176</f>
        <v>12</v>
      </c>
      <c r="H893" s="472">
        <f>B!G176</f>
        <v>13</v>
      </c>
      <c r="I893" s="472">
        <f>B!H176</f>
        <v>12</v>
      </c>
      <c r="J893" s="472">
        <f>B!I176</f>
        <v>12</v>
      </c>
      <c r="K893" s="472">
        <f>B!J176</f>
        <v>12</v>
      </c>
      <c r="L893" s="472">
        <f>B!K176</f>
        <v>12</v>
      </c>
      <c r="M893" s="472">
        <f>B!L176</f>
        <v>12</v>
      </c>
      <c r="N893" s="472">
        <f>B!M176</f>
        <v>12</v>
      </c>
      <c r="O893" s="472">
        <f>B!N176</f>
        <v>13</v>
      </c>
      <c r="P893" s="472">
        <f>B!O176</f>
        <v>13</v>
      </c>
      <c r="Q893" s="473">
        <f>SUM(E893:P893)</f>
        <v>149</v>
      </c>
    </row>
    <row r="894" spans="1:17" x14ac:dyDescent="0.2">
      <c r="A894" s="222">
        <f>A893+1</f>
        <v>4</v>
      </c>
      <c r="C894" s="219" t="s">
        <v>210</v>
      </c>
      <c r="D894" s="781">
        <f>Input!H43</f>
        <v>37.5</v>
      </c>
      <c r="E894" s="427">
        <f t="shared" ref="E894:P894" si="277">ROUND(E893*$D$894,2)</f>
        <v>487.5</v>
      </c>
      <c r="F894" s="427">
        <f t="shared" si="277"/>
        <v>487.5</v>
      </c>
      <c r="G894" s="427">
        <f t="shared" si="277"/>
        <v>450</v>
      </c>
      <c r="H894" s="427">
        <f t="shared" si="277"/>
        <v>487.5</v>
      </c>
      <c r="I894" s="427">
        <f t="shared" si="277"/>
        <v>450</v>
      </c>
      <c r="J894" s="427">
        <f t="shared" si="277"/>
        <v>450</v>
      </c>
      <c r="K894" s="427">
        <f t="shared" si="277"/>
        <v>450</v>
      </c>
      <c r="L894" s="427">
        <f t="shared" si="277"/>
        <v>450</v>
      </c>
      <c r="M894" s="427">
        <f t="shared" si="277"/>
        <v>450</v>
      </c>
      <c r="N894" s="427">
        <f t="shared" si="277"/>
        <v>450</v>
      </c>
      <c r="O894" s="427">
        <f t="shared" si="277"/>
        <v>487.5</v>
      </c>
      <c r="P894" s="427">
        <f t="shared" si="277"/>
        <v>487.5</v>
      </c>
      <c r="Q894" s="427">
        <f>SUM(E894:P894)</f>
        <v>5587.5</v>
      </c>
    </row>
    <row r="895" spans="1:17" x14ac:dyDescent="0.2">
      <c r="A895" s="222">
        <f>A894+1</f>
        <v>5</v>
      </c>
      <c r="C895" s="219" t="s">
        <v>211</v>
      </c>
      <c r="D895" s="781">
        <f>Input!J43</f>
        <v>8.02</v>
      </c>
      <c r="E895" s="427">
        <f t="shared" ref="E895:P895" si="278">ROUND(E893*$D$895,2)</f>
        <v>104.26</v>
      </c>
      <c r="F895" s="427">
        <f t="shared" si="278"/>
        <v>104.26</v>
      </c>
      <c r="G895" s="427">
        <f t="shared" si="278"/>
        <v>96.24</v>
      </c>
      <c r="H895" s="427">
        <f t="shared" si="278"/>
        <v>104.26</v>
      </c>
      <c r="I895" s="427">
        <f t="shared" si="278"/>
        <v>96.24</v>
      </c>
      <c r="J895" s="427">
        <f t="shared" si="278"/>
        <v>96.24</v>
      </c>
      <c r="K895" s="427">
        <f t="shared" si="278"/>
        <v>96.24</v>
      </c>
      <c r="L895" s="427">
        <f t="shared" si="278"/>
        <v>96.24</v>
      </c>
      <c r="M895" s="427">
        <f t="shared" si="278"/>
        <v>96.24</v>
      </c>
      <c r="N895" s="427">
        <f t="shared" si="278"/>
        <v>96.24</v>
      </c>
      <c r="O895" s="427">
        <f t="shared" si="278"/>
        <v>104.26</v>
      </c>
      <c r="P895" s="427">
        <f t="shared" si="278"/>
        <v>104.26</v>
      </c>
      <c r="Q895" s="427">
        <f>SUM(E895:P895)</f>
        <v>1194.98</v>
      </c>
    </row>
    <row r="896" spans="1:17" x14ac:dyDescent="0.2">
      <c r="D896" s="286"/>
      <c r="E896" s="222"/>
      <c r="F896" s="288"/>
      <c r="G896" s="469"/>
      <c r="H896" s="288"/>
      <c r="I896" s="293"/>
      <c r="J896" s="288"/>
      <c r="K896" s="288"/>
    </row>
    <row r="897" spans="1:17" x14ac:dyDescent="0.2">
      <c r="A897" s="222">
        <f>A895+1</f>
        <v>6</v>
      </c>
      <c r="C897" s="219" t="s">
        <v>209</v>
      </c>
      <c r="D897" s="286"/>
      <c r="E897" s="514"/>
      <c r="F897" s="288"/>
      <c r="G897" s="469"/>
      <c r="H897" s="288"/>
      <c r="I897" s="293"/>
      <c r="J897" s="288"/>
      <c r="K897" s="288"/>
    </row>
    <row r="898" spans="1:17" x14ac:dyDescent="0.2">
      <c r="A898" s="222">
        <f>A897+1</f>
        <v>7</v>
      </c>
      <c r="C898" s="219" t="str">
        <f>'C'!B224</f>
        <v xml:space="preserve">    First 50 Mcf</v>
      </c>
      <c r="D898" s="512"/>
      <c r="E898" s="476">
        <f>'C'!D236</f>
        <v>472.7</v>
      </c>
      <c r="F898" s="476">
        <f>'C'!E236</f>
        <v>517.79999999999995</v>
      </c>
      <c r="G898" s="476">
        <f>'C'!F236</f>
        <v>508.5</v>
      </c>
      <c r="H898" s="476">
        <f>'C'!G236</f>
        <v>429.7</v>
      </c>
      <c r="I898" s="476">
        <f>'C'!H236</f>
        <v>346.2</v>
      </c>
      <c r="J898" s="476">
        <f>'C'!I236</f>
        <v>313.10000000000002</v>
      </c>
      <c r="K898" s="476">
        <f>'C'!J236</f>
        <v>310.60000000000002</v>
      </c>
      <c r="L898" s="476">
        <f>'C'!K236</f>
        <v>295.60000000000002</v>
      </c>
      <c r="M898" s="476">
        <f>'C'!L236</f>
        <v>279.2</v>
      </c>
      <c r="N898" s="476">
        <f>'C'!M236</f>
        <v>420.4</v>
      </c>
      <c r="O898" s="476">
        <f>'C'!N236</f>
        <v>426.1</v>
      </c>
      <c r="P898" s="476">
        <f>'C'!O236</f>
        <v>467.9</v>
      </c>
      <c r="Q898" s="477">
        <f>SUM(E898:P898)</f>
        <v>4787.7999999999993</v>
      </c>
    </row>
    <row r="899" spans="1:17" x14ac:dyDescent="0.2">
      <c r="A899" s="222">
        <f>A898+1</f>
        <v>8</v>
      </c>
      <c r="C899" s="219" t="str">
        <f>'C'!B225</f>
        <v xml:space="preserve">    Next 350 Mcf</v>
      </c>
      <c r="D899" s="512"/>
      <c r="E899" s="476">
        <f>'C'!D237</f>
        <v>2210.1999999999998</v>
      </c>
      <c r="F899" s="476">
        <f>'C'!E237</f>
        <v>2239.1</v>
      </c>
      <c r="G899" s="476">
        <f>'C'!F237</f>
        <v>2090.1999999999998</v>
      </c>
      <c r="H899" s="476">
        <f>'C'!G237</f>
        <v>1600.8</v>
      </c>
      <c r="I899" s="476">
        <f>'C'!H237</f>
        <v>1646.5</v>
      </c>
      <c r="J899" s="476">
        <f>'C'!I237</f>
        <v>1359.8</v>
      </c>
      <c r="K899" s="476">
        <f>'C'!J237</f>
        <v>1359.2</v>
      </c>
      <c r="L899" s="476">
        <f>'C'!K237</f>
        <v>1380.5</v>
      </c>
      <c r="M899" s="476">
        <f>'C'!L237</f>
        <v>1335.8</v>
      </c>
      <c r="N899" s="476">
        <f>'C'!M237</f>
        <v>1812.9</v>
      </c>
      <c r="O899" s="476">
        <f>'C'!N237</f>
        <v>2003.7</v>
      </c>
      <c r="P899" s="476">
        <f>'C'!O237</f>
        <v>2070.3000000000002</v>
      </c>
      <c r="Q899" s="477">
        <f>SUM(E899:P899)</f>
        <v>21109</v>
      </c>
    </row>
    <row r="900" spans="1:17" x14ac:dyDescent="0.2">
      <c r="A900" s="222">
        <f>A899+1</f>
        <v>9</v>
      </c>
      <c r="C900" s="219" t="str">
        <f>'C'!B226</f>
        <v xml:space="preserve">    Next 600 Mcf</v>
      </c>
      <c r="D900" s="512"/>
      <c r="E900" s="476">
        <f>'C'!D238</f>
        <v>2400</v>
      </c>
      <c r="F900" s="476">
        <f>'C'!E238</f>
        <v>2344.6999999999998</v>
      </c>
      <c r="G900" s="476">
        <f>'C'!F238</f>
        <v>2065.1</v>
      </c>
      <c r="H900" s="476">
        <f>'C'!G238</f>
        <v>1901.5</v>
      </c>
      <c r="I900" s="293">
        <f>'C'!H238</f>
        <v>1446.5</v>
      </c>
      <c r="J900" s="293">
        <f>'C'!I238</f>
        <v>1488.2</v>
      </c>
      <c r="K900" s="293">
        <f>'C'!J238</f>
        <v>1395.6</v>
      </c>
      <c r="L900" s="293">
        <f>'C'!K238</f>
        <v>1201</v>
      </c>
      <c r="M900" s="293">
        <f>'C'!L238</f>
        <v>1365.8</v>
      </c>
      <c r="N900" s="476">
        <f>'C'!M238</f>
        <v>1413.9</v>
      </c>
      <c r="O900" s="476">
        <f>'C'!N238</f>
        <v>1953.8</v>
      </c>
      <c r="P900" s="476">
        <f>'C'!O238</f>
        <v>1933.6</v>
      </c>
      <c r="Q900" s="477">
        <f>SUM(E900:P900)</f>
        <v>20909.699999999997</v>
      </c>
    </row>
    <row r="901" spans="1:17" x14ac:dyDescent="0.2">
      <c r="A901" s="222">
        <f>A900+1</f>
        <v>10</v>
      </c>
      <c r="C901" s="219" t="str">
        <f>'C'!B227</f>
        <v xml:space="preserve">    Over 1,000 Mcf</v>
      </c>
      <c r="D901" s="529"/>
      <c r="E901" s="515">
        <f>'C'!D239</f>
        <v>917.2</v>
      </c>
      <c r="F901" s="515">
        <f>'C'!E239</f>
        <v>898.3</v>
      </c>
      <c r="G901" s="515">
        <f>'C'!F239</f>
        <v>1336.1</v>
      </c>
      <c r="H901" s="515">
        <f>'C'!G239</f>
        <v>2067.9</v>
      </c>
      <c r="I901" s="515">
        <f>'C'!H239</f>
        <v>2560.8000000000002</v>
      </c>
      <c r="J901" s="515">
        <f>'C'!I239</f>
        <v>2839</v>
      </c>
      <c r="K901" s="515">
        <f>'C'!J239</f>
        <v>2934.5</v>
      </c>
      <c r="L901" s="515">
        <f>'C'!K239</f>
        <v>3122.9</v>
      </c>
      <c r="M901" s="515">
        <f>'C'!L239</f>
        <v>3019.2</v>
      </c>
      <c r="N901" s="515">
        <f>'C'!M239</f>
        <v>2352.9</v>
      </c>
      <c r="O901" s="515">
        <f>'C'!N239</f>
        <v>1616.4</v>
      </c>
      <c r="P901" s="515">
        <f>'C'!O239</f>
        <v>1528.2</v>
      </c>
      <c r="Q901" s="515">
        <f>SUM(E901:P901)</f>
        <v>25193.400000000005</v>
      </c>
    </row>
    <row r="902" spans="1:17" x14ac:dyDescent="0.2">
      <c r="D902" s="529"/>
      <c r="E902" s="476">
        <f t="shared" ref="E902:O902" si="279">SUM(E898:E901)</f>
        <v>6000.0999999999995</v>
      </c>
      <c r="F902" s="476">
        <f t="shared" si="279"/>
        <v>5999.9</v>
      </c>
      <c r="G902" s="476">
        <f t="shared" si="279"/>
        <v>5999.9</v>
      </c>
      <c r="H902" s="476">
        <f t="shared" si="279"/>
        <v>5999.9</v>
      </c>
      <c r="I902" s="476">
        <f t="shared" si="279"/>
        <v>6000</v>
      </c>
      <c r="J902" s="476">
        <f t="shared" si="279"/>
        <v>6000.1</v>
      </c>
      <c r="K902" s="476">
        <f t="shared" si="279"/>
        <v>5999.9</v>
      </c>
      <c r="L902" s="476">
        <f t="shared" si="279"/>
        <v>6000</v>
      </c>
      <c r="M902" s="476">
        <f t="shared" si="279"/>
        <v>6000</v>
      </c>
      <c r="N902" s="476">
        <f t="shared" si="279"/>
        <v>6000.1</v>
      </c>
      <c r="O902" s="476">
        <f t="shared" si="279"/>
        <v>6000</v>
      </c>
      <c r="P902" s="476">
        <f>SUM(P898:P901)</f>
        <v>6000</v>
      </c>
      <c r="Q902" s="476">
        <f>SUM(E902:P902)</f>
        <v>71999.899999999994</v>
      </c>
    </row>
    <row r="903" spans="1:17" x14ac:dyDescent="0.2">
      <c r="A903" s="222">
        <f>A901+1</f>
        <v>11</v>
      </c>
      <c r="C903" s="219" t="s">
        <v>207</v>
      </c>
      <c r="D903" s="529"/>
      <c r="E903" s="222"/>
      <c r="F903" s="288"/>
      <c r="G903" s="469"/>
      <c r="H903" s="288"/>
      <c r="I903" s="293"/>
      <c r="J903" s="288"/>
      <c r="K903" s="288"/>
      <c r="Q903" s="517"/>
    </row>
    <row r="904" spans="1:17" x14ac:dyDescent="0.2">
      <c r="A904" s="222">
        <f>A903+1</f>
        <v>12</v>
      </c>
      <c r="C904" s="219" t="str">
        <f>C898</f>
        <v xml:space="preserve">    First 50 Mcf</v>
      </c>
      <c r="D904" s="782">
        <f>Input!C43</f>
        <v>2.2665999999999999</v>
      </c>
      <c r="E904" s="427">
        <f t="shared" ref="E904:P904" si="280">ROUND(E898*$D$904,2)</f>
        <v>1071.42</v>
      </c>
      <c r="F904" s="427">
        <f t="shared" si="280"/>
        <v>1173.6500000000001</v>
      </c>
      <c r="G904" s="427">
        <f t="shared" si="280"/>
        <v>1152.57</v>
      </c>
      <c r="H904" s="427">
        <f t="shared" si="280"/>
        <v>973.96</v>
      </c>
      <c r="I904" s="427">
        <f t="shared" si="280"/>
        <v>784.7</v>
      </c>
      <c r="J904" s="427">
        <f t="shared" si="280"/>
        <v>709.67</v>
      </c>
      <c r="K904" s="427">
        <f t="shared" si="280"/>
        <v>704.01</v>
      </c>
      <c r="L904" s="427">
        <f t="shared" si="280"/>
        <v>670.01</v>
      </c>
      <c r="M904" s="427">
        <f t="shared" si="280"/>
        <v>632.83000000000004</v>
      </c>
      <c r="N904" s="427">
        <f t="shared" si="280"/>
        <v>952.88</v>
      </c>
      <c r="O904" s="427">
        <f t="shared" si="280"/>
        <v>965.8</v>
      </c>
      <c r="P904" s="427">
        <f t="shared" si="280"/>
        <v>1060.54</v>
      </c>
      <c r="Q904" s="427">
        <f>SUM(E904:P904)</f>
        <v>10852.04</v>
      </c>
    </row>
    <row r="905" spans="1:17" x14ac:dyDescent="0.2">
      <c r="A905" s="222">
        <f>A904+1</f>
        <v>13</v>
      </c>
      <c r="C905" s="219" t="str">
        <f>C899</f>
        <v xml:space="preserve">    Next 350 Mcf</v>
      </c>
      <c r="D905" s="782">
        <f>Input!D43</f>
        <v>1.752</v>
      </c>
      <c r="E905" s="472">
        <f t="shared" ref="E905:P905" si="281">ROUND(E899*$D$905,2)</f>
        <v>3872.27</v>
      </c>
      <c r="F905" s="472">
        <f t="shared" si="281"/>
        <v>3922.9</v>
      </c>
      <c r="G905" s="472">
        <f t="shared" si="281"/>
        <v>3662.03</v>
      </c>
      <c r="H905" s="472">
        <f t="shared" si="281"/>
        <v>2804.6</v>
      </c>
      <c r="I905" s="472">
        <f t="shared" si="281"/>
        <v>2884.67</v>
      </c>
      <c r="J905" s="472">
        <f t="shared" si="281"/>
        <v>2382.37</v>
      </c>
      <c r="K905" s="472">
        <f t="shared" si="281"/>
        <v>2381.3200000000002</v>
      </c>
      <c r="L905" s="472">
        <f t="shared" si="281"/>
        <v>2418.64</v>
      </c>
      <c r="M905" s="472">
        <f t="shared" si="281"/>
        <v>2340.3200000000002</v>
      </c>
      <c r="N905" s="472">
        <f t="shared" si="281"/>
        <v>3176.2</v>
      </c>
      <c r="O905" s="472">
        <f t="shared" si="281"/>
        <v>3510.48</v>
      </c>
      <c r="P905" s="472">
        <f t="shared" si="281"/>
        <v>3627.17</v>
      </c>
      <c r="Q905" s="473">
        <f>SUM(E905:P905)</f>
        <v>36982.97</v>
      </c>
    </row>
    <row r="906" spans="1:17" x14ac:dyDescent="0.2">
      <c r="A906" s="222">
        <f>A905+1</f>
        <v>14</v>
      </c>
      <c r="C906" s="219" t="str">
        <f>C900</f>
        <v xml:space="preserve">    Next 600 Mcf</v>
      </c>
      <c r="D906" s="782">
        <f>Input!E43</f>
        <v>1.6658999999999999</v>
      </c>
      <c r="E906" s="472">
        <f t="shared" ref="E906:P906" si="282">ROUND(E900*$D$906,2)</f>
        <v>3998.16</v>
      </c>
      <c r="F906" s="472">
        <f t="shared" si="282"/>
        <v>3906.04</v>
      </c>
      <c r="G906" s="472">
        <f t="shared" si="282"/>
        <v>3440.25</v>
      </c>
      <c r="H906" s="472">
        <f t="shared" si="282"/>
        <v>3167.71</v>
      </c>
      <c r="I906" s="528">
        <f t="shared" si="282"/>
        <v>2409.7199999999998</v>
      </c>
      <c r="J906" s="528">
        <f t="shared" si="282"/>
        <v>2479.19</v>
      </c>
      <c r="K906" s="528">
        <f t="shared" si="282"/>
        <v>2324.9299999999998</v>
      </c>
      <c r="L906" s="528">
        <f t="shared" si="282"/>
        <v>2000.75</v>
      </c>
      <c r="M906" s="528">
        <f t="shared" si="282"/>
        <v>2275.29</v>
      </c>
      <c r="N906" s="472">
        <f t="shared" si="282"/>
        <v>2355.42</v>
      </c>
      <c r="O906" s="472">
        <f t="shared" si="282"/>
        <v>3254.84</v>
      </c>
      <c r="P906" s="472">
        <f t="shared" si="282"/>
        <v>3221.18</v>
      </c>
      <c r="Q906" s="473">
        <f>SUM(E906:P906)</f>
        <v>34833.479999999996</v>
      </c>
    </row>
    <row r="907" spans="1:17" x14ac:dyDescent="0.2">
      <c r="A907" s="222">
        <f>A906+1</f>
        <v>15</v>
      </c>
      <c r="C907" s="219" t="str">
        <f>C901</f>
        <v xml:space="preserve">    Over 1,000 Mcf</v>
      </c>
      <c r="D907" s="782">
        <f>Input!F43</f>
        <v>1.5164</v>
      </c>
      <c r="E907" s="521">
        <f t="shared" ref="E907:P907" si="283">ROUND(E901*$D$907,2)</f>
        <v>1390.84</v>
      </c>
      <c r="F907" s="521">
        <f t="shared" si="283"/>
        <v>1362.18</v>
      </c>
      <c r="G907" s="521">
        <f t="shared" si="283"/>
        <v>2026.06</v>
      </c>
      <c r="H907" s="521">
        <f t="shared" si="283"/>
        <v>3135.76</v>
      </c>
      <c r="I907" s="521">
        <f t="shared" si="283"/>
        <v>3883.2</v>
      </c>
      <c r="J907" s="521">
        <f t="shared" si="283"/>
        <v>4305.0600000000004</v>
      </c>
      <c r="K907" s="521">
        <f t="shared" si="283"/>
        <v>4449.88</v>
      </c>
      <c r="L907" s="521">
        <f t="shared" si="283"/>
        <v>4735.57</v>
      </c>
      <c r="M907" s="521">
        <f t="shared" si="283"/>
        <v>4578.3100000000004</v>
      </c>
      <c r="N907" s="521">
        <f t="shared" si="283"/>
        <v>3567.94</v>
      </c>
      <c r="O907" s="521">
        <f t="shared" si="283"/>
        <v>2451.11</v>
      </c>
      <c r="P907" s="521">
        <f t="shared" si="283"/>
        <v>2317.36</v>
      </c>
      <c r="Q907" s="521">
        <f>SUM(E907:P907)</f>
        <v>38203.270000000004</v>
      </c>
    </row>
    <row r="908" spans="1:17" x14ac:dyDescent="0.2">
      <c r="D908" s="286"/>
      <c r="E908" s="427">
        <f t="shared" ref="E908:O908" si="284">SUM(E904:E907)</f>
        <v>10332.69</v>
      </c>
      <c r="F908" s="427">
        <f t="shared" si="284"/>
        <v>10364.77</v>
      </c>
      <c r="G908" s="427">
        <f t="shared" si="284"/>
        <v>10280.91</v>
      </c>
      <c r="H908" s="427">
        <f t="shared" si="284"/>
        <v>10082.030000000001</v>
      </c>
      <c r="I908" s="427">
        <f t="shared" si="284"/>
        <v>9962.2900000000009</v>
      </c>
      <c r="J908" s="427">
        <f t="shared" si="284"/>
        <v>9876.2900000000009</v>
      </c>
      <c r="K908" s="427">
        <f t="shared" si="284"/>
        <v>9860.14</v>
      </c>
      <c r="L908" s="427">
        <f t="shared" si="284"/>
        <v>9824.9699999999993</v>
      </c>
      <c r="M908" s="427">
        <f t="shared" si="284"/>
        <v>9826.75</v>
      </c>
      <c r="N908" s="427">
        <f t="shared" si="284"/>
        <v>10052.44</v>
      </c>
      <c r="O908" s="427">
        <f t="shared" si="284"/>
        <v>10182.23</v>
      </c>
      <c r="P908" s="427">
        <f>SUM(P904:P907)</f>
        <v>10226.25</v>
      </c>
      <c r="Q908" s="427">
        <f>SUM(E908:P908)</f>
        <v>120871.76</v>
      </c>
    </row>
    <row r="909" spans="1:17" x14ac:dyDescent="0.2">
      <c r="D909" s="286"/>
      <c r="E909" s="288"/>
      <c r="F909" s="288"/>
      <c r="G909" s="288"/>
      <c r="H909" s="288"/>
      <c r="I909" s="288"/>
      <c r="J909" s="288"/>
      <c r="K909" s="288"/>
      <c r="L909" s="288"/>
      <c r="M909" s="288"/>
      <c r="N909" s="288"/>
      <c r="O909" s="288"/>
      <c r="P909" s="288"/>
      <c r="Q909" s="288"/>
    </row>
    <row r="910" spans="1:17" x14ac:dyDescent="0.2">
      <c r="A910" s="222">
        <f>A907+1</f>
        <v>16</v>
      </c>
      <c r="C910" s="219" t="s">
        <v>204</v>
      </c>
      <c r="D910" s="286"/>
      <c r="E910" s="427">
        <f t="shared" ref="E910:O910" si="285">E894+E895+E908</f>
        <v>10924.45</v>
      </c>
      <c r="F910" s="427">
        <f t="shared" si="285"/>
        <v>10956.53</v>
      </c>
      <c r="G910" s="427">
        <f t="shared" si="285"/>
        <v>10827.15</v>
      </c>
      <c r="H910" s="427">
        <f t="shared" si="285"/>
        <v>10673.79</v>
      </c>
      <c r="I910" s="427">
        <f t="shared" si="285"/>
        <v>10508.53</v>
      </c>
      <c r="J910" s="427">
        <f t="shared" si="285"/>
        <v>10422.530000000001</v>
      </c>
      <c r="K910" s="427">
        <f t="shared" si="285"/>
        <v>10406.379999999999</v>
      </c>
      <c r="L910" s="427">
        <f t="shared" si="285"/>
        <v>10371.209999999999</v>
      </c>
      <c r="M910" s="427">
        <f t="shared" si="285"/>
        <v>10372.99</v>
      </c>
      <c r="N910" s="427">
        <f t="shared" si="285"/>
        <v>10598.68</v>
      </c>
      <c r="O910" s="427">
        <f t="shared" si="285"/>
        <v>10773.99</v>
      </c>
      <c r="P910" s="427">
        <f>P894+P895+P908</f>
        <v>10818.01</v>
      </c>
      <c r="Q910" s="427">
        <f>SUM(E910:P910)</f>
        <v>127654.24000000002</v>
      </c>
    </row>
    <row r="911" spans="1:17" x14ac:dyDescent="0.2">
      <c r="D911" s="222"/>
      <c r="E911" s="466"/>
      <c r="F911" s="466"/>
      <c r="G911" s="466"/>
      <c r="H911" s="466"/>
      <c r="I911" s="466"/>
      <c r="J911" s="466"/>
      <c r="K911" s="466"/>
      <c r="L911" s="466"/>
      <c r="M911" s="466"/>
      <c r="N911" s="466"/>
      <c r="O911" s="466"/>
      <c r="P911" s="466"/>
      <c r="Q911" s="466"/>
    </row>
    <row r="912" spans="1:17" x14ac:dyDescent="0.2">
      <c r="A912" s="222">
        <f>A910+1</f>
        <v>17</v>
      </c>
      <c r="C912" s="219" t="s">
        <v>151</v>
      </c>
      <c r="D912" s="783">
        <v>0</v>
      </c>
      <c r="E912" s="510">
        <v>0</v>
      </c>
      <c r="F912" s="510">
        <v>0</v>
      </c>
      <c r="G912" s="510">
        <v>0</v>
      </c>
      <c r="H912" s="510">
        <v>0</v>
      </c>
      <c r="I912" s="510">
        <v>0</v>
      </c>
      <c r="J912" s="510">
        <v>0</v>
      </c>
      <c r="K912" s="510">
        <v>0</v>
      </c>
      <c r="L912" s="510">
        <v>0</v>
      </c>
      <c r="M912" s="510">
        <v>0</v>
      </c>
      <c r="N912" s="510">
        <v>0</v>
      </c>
      <c r="O912" s="510">
        <v>0</v>
      </c>
      <c r="P912" s="510">
        <v>0</v>
      </c>
      <c r="Q912" s="427">
        <f>SUM(E912:P912)</f>
        <v>0</v>
      </c>
    </row>
    <row r="913" spans="1:17" x14ac:dyDescent="0.2">
      <c r="E913" s="510"/>
      <c r="F913" s="510"/>
      <c r="G913" s="510"/>
      <c r="H913" s="510"/>
      <c r="I913" s="510"/>
      <c r="J913" s="510"/>
      <c r="K913" s="510"/>
      <c r="L913" s="510"/>
      <c r="M913" s="510"/>
      <c r="N913" s="510"/>
      <c r="O913" s="510"/>
      <c r="P913" s="510"/>
      <c r="Q913" s="427"/>
    </row>
    <row r="914" spans="1:17" ht="10.8" thickBot="1" x14ac:dyDescent="0.25">
      <c r="A914" s="488">
        <f>A912+1</f>
        <v>18</v>
      </c>
      <c r="B914" s="489"/>
      <c r="C914" s="489" t="s">
        <v>205</v>
      </c>
      <c r="D914" s="490"/>
      <c r="E914" s="492">
        <f t="shared" ref="E914:O914" si="286">E910+E912</f>
        <v>10924.45</v>
      </c>
      <c r="F914" s="492">
        <f t="shared" si="286"/>
        <v>10956.53</v>
      </c>
      <c r="G914" s="492">
        <f t="shared" si="286"/>
        <v>10827.15</v>
      </c>
      <c r="H914" s="492">
        <f t="shared" si="286"/>
        <v>10673.79</v>
      </c>
      <c r="I914" s="492">
        <f t="shared" si="286"/>
        <v>10508.53</v>
      </c>
      <c r="J914" s="492">
        <f t="shared" si="286"/>
        <v>10422.530000000001</v>
      </c>
      <c r="K914" s="492">
        <f t="shared" si="286"/>
        <v>10406.379999999999</v>
      </c>
      <c r="L914" s="492">
        <f t="shared" si="286"/>
        <v>10371.209999999999</v>
      </c>
      <c r="M914" s="492">
        <f t="shared" si="286"/>
        <v>10372.99</v>
      </c>
      <c r="N914" s="492">
        <f t="shared" si="286"/>
        <v>10598.68</v>
      </c>
      <c r="O914" s="492">
        <f t="shared" si="286"/>
        <v>10773.99</v>
      </c>
      <c r="P914" s="492">
        <f>P910+P912</f>
        <v>10818.01</v>
      </c>
      <c r="Q914" s="492">
        <f>SUM(E914:P914)</f>
        <v>127654.24000000002</v>
      </c>
    </row>
    <row r="915" spans="1:17" ht="10.8" thickTop="1" x14ac:dyDescent="0.2">
      <c r="Q915" s="412"/>
    </row>
    <row r="917" spans="1:17" x14ac:dyDescent="0.2">
      <c r="A917" s="222" t="str">
        <f>$A$270</f>
        <v>[1] Reflects Normalized Volumes.</v>
      </c>
    </row>
    <row r="919" spans="1:17" x14ac:dyDescent="0.2">
      <c r="A919" s="993" t="str">
        <f>CONAME</f>
        <v>Columbia Gas of Kentucky, Inc.</v>
      </c>
      <c r="B919" s="993"/>
      <c r="C919" s="993"/>
      <c r="D919" s="993"/>
      <c r="E919" s="993"/>
      <c r="F919" s="993"/>
      <c r="G919" s="993"/>
      <c r="H919" s="993"/>
      <c r="I919" s="993"/>
      <c r="J919" s="993"/>
      <c r="K919" s="993"/>
      <c r="L919" s="993"/>
      <c r="M919" s="993"/>
      <c r="N919" s="993"/>
      <c r="O919" s="993"/>
      <c r="P919" s="993"/>
      <c r="Q919" s="993"/>
    </row>
    <row r="920" spans="1:17" x14ac:dyDescent="0.2">
      <c r="A920" s="981" t="str">
        <f>case</f>
        <v>Case No. 2016-00162</v>
      </c>
      <c r="B920" s="981"/>
      <c r="C920" s="981"/>
      <c r="D920" s="981"/>
      <c r="E920" s="981"/>
      <c r="F920" s="981"/>
      <c r="G920" s="981"/>
      <c r="H920" s="981"/>
      <c r="I920" s="981"/>
      <c r="J920" s="981"/>
      <c r="K920" s="981"/>
      <c r="L920" s="981"/>
      <c r="M920" s="981"/>
      <c r="N920" s="981"/>
      <c r="O920" s="981"/>
      <c r="P920" s="981"/>
      <c r="Q920" s="981"/>
    </row>
    <row r="921" spans="1:17" x14ac:dyDescent="0.2">
      <c r="A921" s="994" t="s">
        <v>494</v>
      </c>
      <c r="B921" s="994"/>
      <c r="C921" s="994"/>
      <c r="D921" s="994"/>
      <c r="E921" s="994"/>
      <c r="F921" s="994"/>
      <c r="G921" s="994"/>
      <c r="H921" s="994"/>
      <c r="I921" s="994"/>
      <c r="J921" s="994"/>
      <c r="K921" s="994"/>
      <c r="L921" s="994"/>
      <c r="M921" s="994"/>
      <c r="N921" s="994"/>
      <c r="O921" s="994"/>
      <c r="P921" s="994"/>
      <c r="Q921" s="994"/>
    </row>
    <row r="922" spans="1:17" x14ac:dyDescent="0.2">
      <c r="A922" s="993" t="str">
        <f>TYDESC</f>
        <v>For the 12 Months Ended December 31, 2017</v>
      </c>
      <c r="B922" s="993"/>
      <c r="C922" s="993"/>
      <c r="D922" s="993"/>
      <c r="E922" s="993"/>
      <c r="F922" s="993"/>
      <c r="G922" s="993"/>
      <c r="H922" s="993"/>
      <c r="I922" s="993"/>
      <c r="J922" s="993"/>
      <c r="K922" s="993"/>
      <c r="L922" s="993"/>
      <c r="M922" s="993"/>
      <c r="N922" s="993"/>
      <c r="O922" s="993"/>
      <c r="P922" s="993"/>
      <c r="Q922" s="993"/>
    </row>
    <row r="923" spans="1:17" x14ac:dyDescent="0.2">
      <c r="A923" s="991" t="s">
        <v>39</v>
      </c>
      <c r="B923" s="991"/>
      <c r="C923" s="991"/>
      <c r="D923" s="991"/>
      <c r="E923" s="991"/>
      <c r="F923" s="991"/>
      <c r="G923" s="991"/>
      <c r="H923" s="991"/>
      <c r="I923" s="991"/>
      <c r="J923" s="991"/>
      <c r="K923" s="991"/>
      <c r="L923" s="991"/>
      <c r="M923" s="991"/>
      <c r="N923" s="991"/>
      <c r="O923" s="991"/>
      <c r="P923" s="991"/>
      <c r="Q923" s="991"/>
    </row>
    <row r="924" spans="1:17" x14ac:dyDescent="0.2">
      <c r="A924" s="262" t="str">
        <f>$A$52</f>
        <v>Data: __ Base Period _X_ Forecasted Period</v>
      </c>
    </row>
    <row r="925" spans="1:17" x14ac:dyDescent="0.2">
      <c r="A925" s="262" t="str">
        <f>$A$53</f>
        <v>Type of Filing: X Original _ Update _ Revised</v>
      </c>
      <c r="Q925" s="413" t="str">
        <f>$Q$53</f>
        <v>Schedule M-2.2</v>
      </c>
    </row>
    <row r="926" spans="1:17" x14ac:dyDescent="0.2">
      <c r="A926" s="262" t="str">
        <f>$A$54</f>
        <v>Work Paper Reference No(s):</v>
      </c>
      <c r="Q926" s="413" t="s">
        <v>510</v>
      </c>
    </row>
    <row r="927" spans="1:17" x14ac:dyDescent="0.2">
      <c r="A927" s="414" t="str">
        <f>$A$55</f>
        <v>12 Months Forecasted</v>
      </c>
      <c r="Q927" s="413" t="str">
        <f>Witness</f>
        <v>Witness:  M. J. Bell</v>
      </c>
    </row>
    <row r="928" spans="1:17" x14ac:dyDescent="0.2">
      <c r="A928" s="992" t="s">
        <v>194</v>
      </c>
      <c r="B928" s="992"/>
      <c r="C928" s="992"/>
      <c r="D928" s="992"/>
      <c r="E928" s="992"/>
      <c r="F928" s="992"/>
      <c r="G928" s="992"/>
      <c r="H928" s="992"/>
      <c r="I928" s="992"/>
      <c r="J928" s="992"/>
      <c r="K928" s="992"/>
      <c r="L928" s="992"/>
      <c r="M928" s="992"/>
      <c r="N928" s="992"/>
      <c r="O928" s="992"/>
      <c r="P928" s="992"/>
      <c r="Q928" s="992"/>
    </row>
    <row r="929" spans="1:17" x14ac:dyDescent="0.2">
      <c r="A929" s="433"/>
      <c r="B929" s="301"/>
      <c r="C929" s="301"/>
      <c r="D929" s="300"/>
      <c r="E929" s="301"/>
      <c r="F929" s="415"/>
      <c r="G929" s="435"/>
      <c r="H929" s="415"/>
      <c r="I929" s="436"/>
      <c r="J929" s="415"/>
      <c r="K929" s="415"/>
      <c r="L929" s="415"/>
      <c r="M929" s="415"/>
      <c r="N929" s="415"/>
      <c r="O929" s="415"/>
      <c r="P929" s="415"/>
      <c r="Q929" s="301"/>
    </row>
    <row r="930" spans="1:17" x14ac:dyDescent="0.2">
      <c r="A930" s="410" t="s">
        <v>1</v>
      </c>
      <c r="B930" s="224" t="s">
        <v>0</v>
      </c>
      <c r="C930" s="224" t="s">
        <v>41</v>
      </c>
      <c r="D930" s="416" t="s">
        <v>47</v>
      </c>
      <c r="E930" s="224"/>
      <c r="F930" s="417"/>
      <c r="G930" s="418"/>
      <c r="H930" s="417"/>
      <c r="I930" s="419"/>
      <c r="J930" s="417"/>
      <c r="K930" s="417"/>
      <c r="L930" s="417"/>
      <c r="M930" s="417"/>
      <c r="N930" s="417"/>
      <c r="O930" s="417"/>
      <c r="P930" s="417"/>
      <c r="Q930" s="229"/>
    </row>
    <row r="931" spans="1:17" x14ac:dyDescent="0.2">
      <c r="A931" s="281" t="s">
        <v>3</v>
      </c>
      <c r="B931" s="226" t="s">
        <v>40</v>
      </c>
      <c r="C931" s="226" t="s">
        <v>4</v>
      </c>
      <c r="D931" s="420" t="s">
        <v>48</v>
      </c>
      <c r="E931" s="421" t="str">
        <f>B!$D$11</f>
        <v>Jan-17</v>
      </c>
      <c r="F931" s="421" t="str">
        <f>B!$E$11</f>
        <v>Feb-17</v>
      </c>
      <c r="G931" s="421" t="str">
        <f>B!$F$11</f>
        <v>Mar-17</v>
      </c>
      <c r="H931" s="421" t="str">
        <f>B!$G$11</f>
        <v>Apr-17</v>
      </c>
      <c r="I931" s="421" t="str">
        <f>B!$H$11</f>
        <v>May-17</v>
      </c>
      <c r="J931" s="421" t="str">
        <f>B!$I$11</f>
        <v>Jun-17</v>
      </c>
      <c r="K931" s="421" t="str">
        <f>B!$J$11</f>
        <v>Jul-17</v>
      </c>
      <c r="L931" s="421" t="str">
        <f>B!$K$11</f>
        <v>Aug-17</v>
      </c>
      <c r="M931" s="421" t="str">
        <f>B!$L$11</f>
        <v>Sep-17</v>
      </c>
      <c r="N931" s="421" t="str">
        <f>B!$M$11</f>
        <v>Oct-17</v>
      </c>
      <c r="O931" s="421" t="str">
        <f>B!$N$11</f>
        <v>Nov-17</v>
      </c>
      <c r="P931" s="421" t="str">
        <f>B!$O$11</f>
        <v>Dec-17</v>
      </c>
      <c r="Q931" s="422" t="s">
        <v>9</v>
      </c>
    </row>
    <row r="932" spans="1:17" x14ac:dyDescent="0.2">
      <c r="A932" s="410"/>
      <c r="B932" s="229" t="s">
        <v>42</v>
      </c>
      <c r="C932" s="229" t="s">
        <v>43</v>
      </c>
      <c r="D932" s="423" t="s">
        <v>45</v>
      </c>
      <c r="E932" s="424" t="s">
        <v>46</v>
      </c>
      <c r="F932" s="424" t="s">
        <v>49</v>
      </c>
      <c r="G932" s="424" t="s">
        <v>50</v>
      </c>
      <c r="H932" s="424" t="s">
        <v>51</v>
      </c>
      <c r="I932" s="424" t="s">
        <v>52</v>
      </c>
      <c r="J932" s="424" t="s">
        <v>53</v>
      </c>
      <c r="K932" s="425" t="s">
        <v>54</v>
      </c>
      <c r="L932" s="425" t="s">
        <v>55</v>
      </c>
      <c r="M932" s="425" t="s">
        <v>56</v>
      </c>
      <c r="N932" s="425" t="s">
        <v>57</v>
      </c>
      <c r="O932" s="425" t="s">
        <v>58</v>
      </c>
      <c r="P932" s="425" t="s">
        <v>59</v>
      </c>
      <c r="Q932" s="425" t="s">
        <v>203</v>
      </c>
    </row>
    <row r="933" spans="1:17" x14ac:dyDescent="0.2">
      <c r="E933" s="229"/>
      <c r="F933" s="425"/>
      <c r="G933" s="437"/>
      <c r="H933" s="425"/>
      <c r="I933" s="424"/>
      <c r="J933" s="425"/>
      <c r="K933" s="425"/>
      <c r="L933" s="425"/>
      <c r="M933" s="425"/>
      <c r="N933" s="425"/>
      <c r="O933" s="425"/>
      <c r="P933" s="425"/>
      <c r="Q933" s="229"/>
    </row>
    <row r="934" spans="1:17" x14ac:dyDescent="0.2">
      <c r="A934" s="222">
        <v>1</v>
      </c>
      <c r="B934" s="219" t="str">
        <f>B248</f>
        <v>DS</v>
      </c>
      <c r="C934" s="219" t="str">
        <f>C248</f>
        <v>GTS Delivery Service - Commercial</v>
      </c>
    </row>
    <row r="936" spans="1:17" x14ac:dyDescent="0.2">
      <c r="A936" s="222">
        <f>A934+1</f>
        <v>2</v>
      </c>
      <c r="C936" s="223" t="s">
        <v>111</v>
      </c>
    </row>
    <row r="937" spans="1:17" x14ac:dyDescent="0.2">
      <c r="C937" s="223"/>
    </row>
    <row r="938" spans="1:17" x14ac:dyDescent="0.2">
      <c r="A938" s="222">
        <f>A936+1</f>
        <v>3</v>
      </c>
      <c r="C938" s="219" t="s">
        <v>202</v>
      </c>
      <c r="E938" s="472">
        <f>B!D182</f>
        <v>41</v>
      </c>
      <c r="F938" s="472">
        <f>B!E182</f>
        <v>32</v>
      </c>
      <c r="G938" s="472">
        <f>B!F182</f>
        <v>32</v>
      </c>
      <c r="H938" s="472">
        <f>B!G182</f>
        <v>32</v>
      </c>
      <c r="I938" s="472">
        <f>B!H182</f>
        <v>32</v>
      </c>
      <c r="J938" s="472">
        <f>B!I182</f>
        <v>32</v>
      </c>
      <c r="K938" s="472">
        <f>B!J182</f>
        <v>34</v>
      </c>
      <c r="L938" s="472">
        <f>B!K182</f>
        <v>33</v>
      </c>
      <c r="M938" s="472">
        <f>B!L182</f>
        <v>33</v>
      </c>
      <c r="N938" s="472">
        <f>B!M182</f>
        <v>33</v>
      </c>
      <c r="O938" s="472">
        <f>B!N182</f>
        <v>34</v>
      </c>
      <c r="P938" s="472">
        <f>B!O182</f>
        <v>60</v>
      </c>
      <c r="Q938" s="473">
        <f>SUM(E938:P938)</f>
        <v>428</v>
      </c>
    </row>
    <row r="939" spans="1:17" x14ac:dyDescent="0.2">
      <c r="A939" s="222">
        <f>A938+1</f>
        <v>4</v>
      </c>
      <c r="C939" s="219" t="s">
        <v>210</v>
      </c>
      <c r="D939" s="781">
        <f>Input!H44</f>
        <v>1007.05</v>
      </c>
      <c r="E939" s="427">
        <f t="shared" ref="E939:P939" si="287">ROUND(E938*$D$939,2)</f>
        <v>41289.050000000003</v>
      </c>
      <c r="F939" s="427">
        <f t="shared" si="287"/>
        <v>32225.599999999999</v>
      </c>
      <c r="G939" s="427">
        <f t="shared" si="287"/>
        <v>32225.599999999999</v>
      </c>
      <c r="H939" s="427">
        <f t="shared" si="287"/>
        <v>32225.599999999999</v>
      </c>
      <c r="I939" s="427">
        <f t="shared" si="287"/>
        <v>32225.599999999999</v>
      </c>
      <c r="J939" s="427">
        <f t="shared" si="287"/>
        <v>32225.599999999999</v>
      </c>
      <c r="K939" s="427">
        <f t="shared" si="287"/>
        <v>34239.699999999997</v>
      </c>
      <c r="L939" s="427">
        <f t="shared" si="287"/>
        <v>33232.65</v>
      </c>
      <c r="M939" s="427">
        <f t="shared" si="287"/>
        <v>33232.65</v>
      </c>
      <c r="N939" s="427">
        <f t="shared" si="287"/>
        <v>33232.65</v>
      </c>
      <c r="O939" s="427">
        <f t="shared" si="287"/>
        <v>34239.699999999997</v>
      </c>
      <c r="P939" s="427">
        <f t="shared" si="287"/>
        <v>60423</v>
      </c>
      <c r="Q939" s="427">
        <f>SUM(E939:P939)</f>
        <v>431017.40000000008</v>
      </c>
    </row>
    <row r="940" spans="1:17" x14ac:dyDescent="0.2">
      <c r="A940" s="222">
        <f>A939+1</f>
        <v>5</v>
      </c>
      <c r="C940" s="219" t="s">
        <v>217</v>
      </c>
      <c r="D940" s="781">
        <f>Input!I44</f>
        <v>55.9</v>
      </c>
      <c r="E940" s="427">
        <f t="shared" ref="E940:P940" si="288">ROUND(E938*$D$940,2)</f>
        <v>2291.9</v>
      </c>
      <c r="F940" s="427">
        <f t="shared" si="288"/>
        <v>1788.8</v>
      </c>
      <c r="G940" s="427">
        <f t="shared" si="288"/>
        <v>1788.8</v>
      </c>
      <c r="H940" s="427">
        <f t="shared" si="288"/>
        <v>1788.8</v>
      </c>
      <c r="I940" s="427">
        <f t="shared" si="288"/>
        <v>1788.8</v>
      </c>
      <c r="J940" s="427">
        <f t="shared" si="288"/>
        <v>1788.8</v>
      </c>
      <c r="K940" s="427">
        <f t="shared" si="288"/>
        <v>1900.6</v>
      </c>
      <c r="L940" s="427">
        <f t="shared" si="288"/>
        <v>1844.7</v>
      </c>
      <c r="M940" s="427">
        <f t="shared" si="288"/>
        <v>1844.7</v>
      </c>
      <c r="N940" s="427">
        <f t="shared" si="288"/>
        <v>1844.7</v>
      </c>
      <c r="O940" s="427">
        <f t="shared" si="288"/>
        <v>1900.6</v>
      </c>
      <c r="P940" s="427">
        <f t="shared" si="288"/>
        <v>3354</v>
      </c>
      <c r="Q940" s="427">
        <f>SUM(E940:P940)</f>
        <v>23925.200000000001</v>
      </c>
    </row>
    <row r="941" spans="1:17" x14ac:dyDescent="0.2">
      <c r="A941" s="222">
        <f>A940+1</f>
        <v>6</v>
      </c>
      <c r="C941" s="219" t="s">
        <v>211</v>
      </c>
      <c r="D941" s="781">
        <f>Input!J44</f>
        <v>449.59</v>
      </c>
      <c r="E941" s="427">
        <f t="shared" ref="E941:P941" si="289">ROUND(E938*$D$941,2)</f>
        <v>18433.189999999999</v>
      </c>
      <c r="F941" s="427">
        <f t="shared" si="289"/>
        <v>14386.88</v>
      </c>
      <c r="G941" s="427">
        <f t="shared" si="289"/>
        <v>14386.88</v>
      </c>
      <c r="H941" s="427">
        <f t="shared" si="289"/>
        <v>14386.88</v>
      </c>
      <c r="I941" s="427">
        <f t="shared" si="289"/>
        <v>14386.88</v>
      </c>
      <c r="J941" s="427">
        <f t="shared" si="289"/>
        <v>14386.88</v>
      </c>
      <c r="K941" s="427">
        <f t="shared" si="289"/>
        <v>15286.06</v>
      </c>
      <c r="L941" s="427">
        <f t="shared" si="289"/>
        <v>14836.47</v>
      </c>
      <c r="M941" s="427">
        <f t="shared" si="289"/>
        <v>14836.47</v>
      </c>
      <c r="N941" s="427">
        <f t="shared" si="289"/>
        <v>14836.47</v>
      </c>
      <c r="O941" s="427">
        <f t="shared" si="289"/>
        <v>15286.06</v>
      </c>
      <c r="P941" s="427">
        <f t="shared" si="289"/>
        <v>26975.4</v>
      </c>
      <c r="Q941" s="427">
        <f>SUM(E941:P941)</f>
        <v>192424.52</v>
      </c>
    </row>
    <row r="942" spans="1:17" x14ac:dyDescent="0.2">
      <c r="D942" s="286"/>
      <c r="E942" s="222"/>
      <c r="F942" s="288"/>
      <c r="G942" s="469"/>
      <c r="H942" s="288"/>
      <c r="I942" s="293"/>
      <c r="J942" s="288"/>
      <c r="K942" s="288"/>
      <c r="L942" s="288"/>
    </row>
    <row r="943" spans="1:17" x14ac:dyDescent="0.2">
      <c r="A943" s="222">
        <f>A941+1</f>
        <v>7</v>
      </c>
      <c r="C943" s="219" t="s">
        <v>209</v>
      </c>
      <c r="D943" s="286"/>
      <c r="E943" s="514"/>
      <c r="F943" s="288"/>
      <c r="G943" s="469"/>
      <c r="H943" s="288"/>
      <c r="I943" s="293"/>
      <c r="J943" s="288"/>
      <c r="K943" s="288"/>
      <c r="L943" s="288"/>
    </row>
    <row r="944" spans="1:17" x14ac:dyDescent="0.2">
      <c r="A944" s="222">
        <f>A943+1</f>
        <v>8</v>
      </c>
      <c r="C944" s="219" t="str">
        <f>'C'!B244</f>
        <v xml:space="preserve">    First 30,000 Mcf</v>
      </c>
      <c r="D944" s="286"/>
      <c r="E944" s="524">
        <f>'C'!D254</f>
        <v>188859</v>
      </c>
      <c r="F944" s="524">
        <f>'C'!E254</f>
        <v>169110.1</v>
      </c>
      <c r="G944" s="524">
        <f>'C'!F254</f>
        <v>147265.60000000001</v>
      </c>
      <c r="H944" s="524">
        <f>'C'!G254</f>
        <v>103565.2</v>
      </c>
      <c r="I944" s="524">
        <f>'C'!H254</f>
        <v>83423.100000000006</v>
      </c>
      <c r="J944" s="524">
        <f>'C'!I254</f>
        <v>69626.2</v>
      </c>
      <c r="K944" s="524">
        <f>'C'!J254</f>
        <v>68394.7</v>
      </c>
      <c r="L944" s="524">
        <f>'C'!K254</f>
        <v>69858.100000000006</v>
      </c>
      <c r="M944" s="524">
        <f>'C'!L254</f>
        <v>76451.3</v>
      </c>
      <c r="N944" s="524">
        <f>'C'!M254</f>
        <v>101603.3</v>
      </c>
      <c r="O944" s="524">
        <f>'C'!N254</f>
        <v>139898.5</v>
      </c>
      <c r="P944" s="524">
        <f>'C'!O254</f>
        <v>162514.9</v>
      </c>
      <c r="Q944" s="525">
        <f>SUM(E944:P944)</f>
        <v>1380569.9999999998</v>
      </c>
    </row>
    <row r="945" spans="1:17" x14ac:dyDescent="0.2">
      <c r="A945" s="222">
        <f>A944+1</f>
        <v>9</v>
      </c>
      <c r="C945" s="219" t="str">
        <f>'C'!B245</f>
        <v xml:space="preserve">    Next 70,000 Mcf</v>
      </c>
      <c r="D945" s="286"/>
      <c r="E945" s="524">
        <f>'C'!D255</f>
        <v>0</v>
      </c>
      <c r="F945" s="524">
        <f>'C'!E255</f>
        <v>0</v>
      </c>
      <c r="G945" s="524">
        <f>'C'!F255</f>
        <v>0</v>
      </c>
      <c r="H945" s="524">
        <f>'C'!G255</f>
        <v>0</v>
      </c>
      <c r="I945" s="524">
        <f>'C'!H255</f>
        <v>0</v>
      </c>
      <c r="J945" s="524">
        <f>'C'!I255</f>
        <v>0</v>
      </c>
      <c r="K945" s="524">
        <f>'C'!J255</f>
        <v>0</v>
      </c>
      <c r="L945" s="524">
        <f>'C'!K255</f>
        <v>0</v>
      </c>
      <c r="M945" s="524">
        <f>'C'!L255</f>
        <v>0</v>
      </c>
      <c r="N945" s="524">
        <f>'C'!M255</f>
        <v>0</v>
      </c>
      <c r="O945" s="524">
        <f>'C'!N255</f>
        <v>0</v>
      </c>
      <c r="P945" s="524">
        <f>'C'!O255</f>
        <v>0</v>
      </c>
      <c r="Q945" s="525">
        <f>SUM(E945:P945)</f>
        <v>0</v>
      </c>
    </row>
    <row r="946" spans="1:17" x14ac:dyDescent="0.2">
      <c r="A946" s="222">
        <f>A945+1</f>
        <v>10</v>
      </c>
      <c r="C946" s="219" t="str">
        <f>'C'!B246</f>
        <v xml:space="preserve">    Over 100,000 Mcf</v>
      </c>
      <c r="D946" s="512"/>
      <c r="E946" s="515">
        <f>'C'!D256</f>
        <v>0</v>
      </c>
      <c r="F946" s="515">
        <f>'C'!E256</f>
        <v>0</v>
      </c>
      <c r="G946" s="515">
        <f>'C'!F256</f>
        <v>0</v>
      </c>
      <c r="H946" s="515">
        <f>'C'!G256</f>
        <v>0</v>
      </c>
      <c r="I946" s="515">
        <f>'C'!H256</f>
        <v>0</v>
      </c>
      <c r="J946" s="515">
        <f>'C'!I256</f>
        <v>0</v>
      </c>
      <c r="K946" s="515">
        <f>'C'!J256</f>
        <v>0</v>
      </c>
      <c r="L946" s="515">
        <f>'C'!K256</f>
        <v>0</v>
      </c>
      <c r="M946" s="515">
        <f>'C'!L256</f>
        <v>0</v>
      </c>
      <c r="N946" s="515">
        <f>'C'!M256</f>
        <v>0</v>
      </c>
      <c r="O946" s="515">
        <f>'C'!N256</f>
        <v>0</v>
      </c>
      <c r="P946" s="515">
        <f>'C'!O256</f>
        <v>0</v>
      </c>
      <c r="Q946" s="464">
        <f>SUM(E946:P946)</f>
        <v>0</v>
      </c>
    </row>
    <row r="947" spans="1:17" x14ac:dyDescent="0.2">
      <c r="D947" s="512"/>
      <c r="E947" s="524">
        <f t="shared" ref="E947:O947" si="290">SUM(E942:E946)</f>
        <v>188859</v>
      </c>
      <c r="F947" s="524">
        <f t="shared" si="290"/>
        <v>169110.1</v>
      </c>
      <c r="G947" s="524">
        <f t="shared" si="290"/>
        <v>147265.60000000001</v>
      </c>
      <c r="H947" s="524">
        <f t="shared" si="290"/>
        <v>103565.2</v>
      </c>
      <c r="I947" s="524">
        <f t="shared" si="290"/>
        <v>83423.100000000006</v>
      </c>
      <c r="J947" s="524">
        <f t="shared" si="290"/>
        <v>69626.2</v>
      </c>
      <c r="K947" s="524">
        <f t="shared" si="290"/>
        <v>68394.7</v>
      </c>
      <c r="L947" s="524">
        <f t="shared" si="290"/>
        <v>69858.100000000006</v>
      </c>
      <c r="M947" s="524">
        <f t="shared" si="290"/>
        <v>76451.3</v>
      </c>
      <c r="N947" s="524">
        <f t="shared" si="290"/>
        <v>101603.3</v>
      </c>
      <c r="O947" s="524">
        <f t="shared" si="290"/>
        <v>139898.5</v>
      </c>
      <c r="P947" s="524">
        <f>SUM(P942:P946)</f>
        <v>162514.9</v>
      </c>
      <c r="Q947" s="524">
        <f>SUM(E947:P947)</f>
        <v>1380569.9999999998</v>
      </c>
    </row>
    <row r="948" spans="1:17" x14ac:dyDescent="0.2">
      <c r="A948" s="222">
        <f>A946+1</f>
        <v>11</v>
      </c>
      <c r="C948" s="219" t="s">
        <v>207</v>
      </c>
      <c r="D948" s="512"/>
      <c r="E948" s="222"/>
      <c r="F948" s="495"/>
      <c r="G948" s="469"/>
      <c r="H948" s="495"/>
      <c r="I948" s="497"/>
      <c r="J948" s="530"/>
      <c r="K948" s="495"/>
      <c r="L948" s="495"/>
      <c r="M948" s="415"/>
      <c r="N948" s="415"/>
      <c r="O948" s="415"/>
      <c r="P948" s="415"/>
      <c r="Q948" s="412"/>
    </row>
    <row r="949" spans="1:17" x14ac:dyDescent="0.2">
      <c r="A949" s="222">
        <f>A948+1</f>
        <v>12</v>
      </c>
      <c r="C949" s="219" t="str">
        <f>C944</f>
        <v xml:space="preserve">    First 30,000 Mcf</v>
      </c>
      <c r="D949" s="782">
        <f>Input!C44</f>
        <v>0.54430000000000001</v>
      </c>
      <c r="E949" s="427">
        <f t="shared" ref="E949:P949" si="291">ROUND(E944*$D$949,2)</f>
        <v>102795.95</v>
      </c>
      <c r="F949" s="427">
        <f t="shared" si="291"/>
        <v>92046.63</v>
      </c>
      <c r="G949" s="427">
        <f t="shared" si="291"/>
        <v>80156.67</v>
      </c>
      <c r="H949" s="427">
        <f t="shared" si="291"/>
        <v>56370.54</v>
      </c>
      <c r="I949" s="427">
        <f t="shared" si="291"/>
        <v>45407.19</v>
      </c>
      <c r="J949" s="427">
        <f t="shared" si="291"/>
        <v>37897.54</v>
      </c>
      <c r="K949" s="427">
        <f t="shared" si="291"/>
        <v>37227.24</v>
      </c>
      <c r="L949" s="427">
        <f t="shared" si="291"/>
        <v>38023.760000000002</v>
      </c>
      <c r="M949" s="427">
        <f t="shared" si="291"/>
        <v>41612.44</v>
      </c>
      <c r="N949" s="427">
        <f t="shared" si="291"/>
        <v>55302.68</v>
      </c>
      <c r="O949" s="427">
        <f t="shared" si="291"/>
        <v>76146.75</v>
      </c>
      <c r="P949" s="427">
        <f t="shared" si="291"/>
        <v>88456.86</v>
      </c>
      <c r="Q949" s="427">
        <f>SUM(E949:P949)</f>
        <v>751444.25</v>
      </c>
    </row>
    <row r="950" spans="1:17" x14ac:dyDescent="0.2">
      <c r="A950" s="222">
        <f>A949+1</f>
        <v>13</v>
      </c>
      <c r="C950" s="219" t="str">
        <f>C945</f>
        <v xml:space="preserve">    Next 70,000 Mcf</v>
      </c>
      <c r="D950" s="782">
        <f>Input!D44</f>
        <v>0.28899999999999998</v>
      </c>
      <c r="E950" s="893">
        <f>ROUND(E945*$D$950,2)</f>
        <v>0</v>
      </c>
      <c r="F950" s="893">
        <f t="shared" ref="F950:P950" si="292">ROUND(F945*$D$950,2)</f>
        <v>0</v>
      </c>
      <c r="G950" s="893">
        <f t="shared" si="292"/>
        <v>0</v>
      </c>
      <c r="H950" s="893">
        <f t="shared" si="292"/>
        <v>0</v>
      </c>
      <c r="I950" s="893">
        <f t="shared" si="292"/>
        <v>0</v>
      </c>
      <c r="J950" s="893">
        <f t="shared" si="292"/>
        <v>0</v>
      </c>
      <c r="K950" s="893">
        <f t="shared" si="292"/>
        <v>0</v>
      </c>
      <c r="L950" s="893">
        <f t="shared" si="292"/>
        <v>0</v>
      </c>
      <c r="M950" s="893">
        <f t="shared" si="292"/>
        <v>0</v>
      </c>
      <c r="N950" s="893">
        <f t="shared" si="292"/>
        <v>0</v>
      </c>
      <c r="O950" s="893">
        <f t="shared" si="292"/>
        <v>0</v>
      </c>
      <c r="P950" s="893">
        <f t="shared" si="292"/>
        <v>0</v>
      </c>
      <c r="Q950" s="427">
        <f>SUM(E950:P950)</f>
        <v>0</v>
      </c>
    </row>
    <row r="951" spans="1:17" x14ac:dyDescent="0.2">
      <c r="A951" s="222">
        <f>A950+1</f>
        <v>14</v>
      </c>
      <c r="C951" s="219" t="str">
        <f>C946</f>
        <v xml:space="preserve">    Over 100,000 Mcf</v>
      </c>
      <c r="D951" s="782">
        <f>Input!E44</f>
        <v>0.28899999999999998</v>
      </c>
      <c r="E951" s="273">
        <f t="shared" ref="E951:P951" si="293">ROUND(E946*$D$951,2)</f>
        <v>0</v>
      </c>
      <c r="F951" s="273">
        <f t="shared" si="293"/>
        <v>0</v>
      </c>
      <c r="G951" s="273">
        <f t="shared" si="293"/>
        <v>0</v>
      </c>
      <c r="H951" s="273">
        <f t="shared" si="293"/>
        <v>0</v>
      </c>
      <c r="I951" s="273">
        <f t="shared" si="293"/>
        <v>0</v>
      </c>
      <c r="J951" s="273">
        <f t="shared" si="293"/>
        <v>0</v>
      </c>
      <c r="K951" s="273">
        <f t="shared" si="293"/>
        <v>0</v>
      </c>
      <c r="L951" s="273">
        <f t="shared" si="293"/>
        <v>0</v>
      </c>
      <c r="M951" s="273">
        <f t="shared" si="293"/>
        <v>0</v>
      </c>
      <c r="N951" s="273">
        <f t="shared" si="293"/>
        <v>0</v>
      </c>
      <c r="O951" s="273">
        <f t="shared" si="293"/>
        <v>0</v>
      </c>
      <c r="P951" s="273">
        <f t="shared" si="293"/>
        <v>0</v>
      </c>
      <c r="Q951" s="273">
        <f>SUM(E951:P951)</f>
        <v>0</v>
      </c>
    </row>
    <row r="952" spans="1:17" x14ac:dyDescent="0.2">
      <c r="D952" s="512"/>
      <c r="E952" s="427">
        <f t="shared" ref="E952:O952" si="294">SUM(E949:E951)</f>
        <v>102795.95</v>
      </c>
      <c r="F952" s="427">
        <f t="shared" si="294"/>
        <v>92046.63</v>
      </c>
      <c r="G952" s="427">
        <f t="shared" si="294"/>
        <v>80156.67</v>
      </c>
      <c r="H952" s="427">
        <f t="shared" si="294"/>
        <v>56370.54</v>
      </c>
      <c r="I952" s="427">
        <f t="shared" si="294"/>
        <v>45407.19</v>
      </c>
      <c r="J952" s="427">
        <f t="shared" si="294"/>
        <v>37897.54</v>
      </c>
      <c r="K952" s="427">
        <f t="shared" si="294"/>
        <v>37227.24</v>
      </c>
      <c r="L952" s="427">
        <f t="shared" si="294"/>
        <v>38023.760000000002</v>
      </c>
      <c r="M952" s="427">
        <f t="shared" si="294"/>
        <v>41612.44</v>
      </c>
      <c r="N952" s="427">
        <f t="shared" si="294"/>
        <v>55302.68</v>
      </c>
      <c r="O952" s="427">
        <f t="shared" si="294"/>
        <v>76146.75</v>
      </c>
      <c r="P952" s="427">
        <f>SUM(P949:P951)</f>
        <v>88456.86</v>
      </c>
      <c r="Q952" s="427">
        <f>SUM(E952:P952)</f>
        <v>751444.25</v>
      </c>
    </row>
    <row r="953" spans="1:17" x14ac:dyDescent="0.2">
      <c r="D953" s="512"/>
      <c r="E953" s="466"/>
      <c r="F953" s="531"/>
      <c r="G953" s="466"/>
      <c r="H953" s="531"/>
      <c r="I953" s="531"/>
      <c r="J953" s="532"/>
      <c r="K953" s="531"/>
      <c r="L953" s="531"/>
      <c r="M953" s="503"/>
      <c r="N953" s="503"/>
      <c r="O953" s="503"/>
      <c r="P953" s="503"/>
      <c r="Q953" s="459"/>
    </row>
    <row r="954" spans="1:17" x14ac:dyDescent="0.2">
      <c r="A954" s="222">
        <f>A951+1</f>
        <v>15</v>
      </c>
      <c r="C954" s="219" t="s">
        <v>204</v>
      </c>
      <c r="D954" s="512"/>
      <c r="E954" s="427">
        <f t="shared" ref="E954:O954" si="295">E939+E940+E941+E952</f>
        <v>164810.09</v>
      </c>
      <c r="F954" s="427">
        <f t="shared" si="295"/>
        <v>140447.91</v>
      </c>
      <c r="G954" s="427">
        <f t="shared" si="295"/>
        <v>128557.95</v>
      </c>
      <c r="H954" s="427">
        <f t="shared" si="295"/>
        <v>104771.82</v>
      </c>
      <c r="I954" s="427">
        <f t="shared" si="295"/>
        <v>93808.47</v>
      </c>
      <c r="J954" s="427">
        <f t="shared" si="295"/>
        <v>86298.82</v>
      </c>
      <c r="K954" s="427">
        <f t="shared" si="295"/>
        <v>88653.599999999991</v>
      </c>
      <c r="L954" s="427">
        <f t="shared" si="295"/>
        <v>87937.58</v>
      </c>
      <c r="M954" s="427">
        <f t="shared" si="295"/>
        <v>91526.260000000009</v>
      </c>
      <c r="N954" s="427">
        <f t="shared" si="295"/>
        <v>105216.5</v>
      </c>
      <c r="O954" s="427">
        <f t="shared" si="295"/>
        <v>127573.10999999999</v>
      </c>
      <c r="P954" s="427">
        <f>P939+P940+P941+P952</f>
        <v>179209.26</v>
      </c>
      <c r="Q954" s="427">
        <f>SUM(E954:P954)</f>
        <v>1398811.3699999999</v>
      </c>
    </row>
    <row r="955" spans="1:17" x14ac:dyDescent="0.2">
      <c r="D955" s="512"/>
      <c r="E955" s="510"/>
      <c r="F955" s="510"/>
      <c r="G955" s="510"/>
      <c r="H955" s="510"/>
      <c r="I955" s="510"/>
      <c r="J955" s="510"/>
      <c r="K955" s="510"/>
      <c r="L955" s="510"/>
      <c r="M955" s="510"/>
      <c r="N955" s="510"/>
      <c r="O955" s="510"/>
      <c r="P955" s="510"/>
      <c r="Q955" s="427"/>
    </row>
    <row r="956" spans="1:17" x14ac:dyDescent="0.2">
      <c r="A956" s="222">
        <f>A954+1</f>
        <v>16</v>
      </c>
      <c r="C956" s="219" t="s">
        <v>151</v>
      </c>
      <c r="D956" s="783">
        <v>0</v>
      </c>
      <c r="E956" s="510">
        <v>0</v>
      </c>
      <c r="F956" s="510">
        <v>0</v>
      </c>
      <c r="G956" s="510">
        <v>0</v>
      </c>
      <c r="H956" s="510">
        <v>0</v>
      </c>
      <c r="I956" s="510">
        <v>0</v>
      </c>
      <c r="J956" s="510">
        <v>0</v>
      </c>
      <c r="K956" s="510">
        <v>0</v>
      </c>
      <c r="L956" s="510">
        <v>0</v>
      </c>
      <c r="M956" s="510">
        <v>0</v>
      </c>
      <c r="N956" s="510">
        <v>0</v>
      </c>
      <c r="O956" s="510">
        <v>0</v>
      </c>
      <c r="P956" s="510">
        <v>0</v>
      </c>
      <c r="Q956" s="427">
        <f>SUM(E956:P956)</f>
        <v>0</v>
      </c>
    </row>
    <row r="957" spans="1:17" x14ac:dyDescent="0.2">
      <c r="D957" s="511"/>
      <c r="E957" s="459"/>
      <c r="F957" s="484"/>
      <c r="G957" s="484"/>
      <c r="H957" s="484"/>
      <c r="I957" s="484"/>
      <c r="J957" s="533"/>
      <c r="K957" s="484"/>
      <c r="L957" s="484"/>
      <c r="M957" s="484"/>
      <c r="N957" s="484"/>
      <c r="O957" s="484"/>
      <c r="P957" s="484"/>
      <c r="Q957" s="459"/>
    </row>
    <row r="958" spans="1:17" ht="10.8" thickBot="1" x14ac:dyDescent="0.25">
      <c r="A958" s="488">
        <f>A956+1</f>
        <v>17</v>
      </c>
      <c r="B958" s="489"/>
      <c r="C958" s="489" t="s">
        <v>205</v>
      </c>
      <c r="D958" s="490"/>
      <c r="E958" s="492">
        <f t="shared" ref="E958:O958" si="296">E954+E956</f>
        <v>164810.09</v>
      </c>
      <c r="F958" s="492">
        <f t="shared" si="296"/>
        <v>140447.91</v>
      </c>
      <c r="G958" s="492">
        <f t="shared" si="296"/>
        <v>128557.95</v>
      </c>
      <c r="H958" s="492">
        <f t="shared" si="296"/>
        <v>104771.82</v>
      </c>
      <c r="I958" s="492">
        <f t="shared" si="296"/>
        <v>93808.47</v>
      </c>
      <c r="J958" s="492">
        <f t="shared" si="296"/>
        <v>86298.82</v>
      </c>
      <c r="K958" s="492">
        <f t="shared" si="296"/>
        <v>88653.599999999991</v>
      </c>
      <c r="L958" s="492">
        <f t="shared" si="296"/>
        <v>87937.58</v>
      </c>
      <c r="M958" s="492">
        <f t="shared" si="296"/>
        <v>91526.260000000009</v>
      </c>
      <c r="N958" s="492">
        <f t="shared" si="296"/>
        <v>105216.5</v>
      </c>
      <c r="O958" s="492">
        <f t="shared" si="296"/>
        <v>127573.10999999999</v>
      </c>
      <c r="P958" s="492">
        <f>P954+P956</f>
        <v>179209.26</v>
      </c>
      <c r="Q958" s="492">
        <f>SUM(E958:P958)</f>
        <v>1398811.3699999999</v>
      </c>
    </row>
    <row r="959" spans="1:17" ht="10.8" thickTop="1" x14ac:dyDescent="0.2"/>
    <row r="960" spans="1:17" x14ac:dyDescent="0.2">
      <c r="Q960" s="412"/>
    </row>
    <row r="961" spans="1:18" x14ac:dyDescent="0.2">
      <c r="A961" s="222">
        <f>A958+1</f>
        <v>18</v>
      </c>
      <c r="B961" s="219" t="str">
        <f>B255</f>
        <v>DS</v>
      </c>
      <c r="C961" s="219" t="str">
        <f>C255</f>
        <v>GTS Delivery Service - Industrial</v>
      </c>
    </row>
    <row r="963" spans="1:18" x14ac:dyDescent="0.2">
      <c r="A963" s="222">
        <f>A961+1</f>
        <v>19</v>
      </c>
      <c r="C963" s="223" t="s">
        <v>112</v>
      </c>
      <c r="E963" s="222"/>
      <c r="F963" s="288"/>
      <c r="G963" s="469"/>
      <c r="H963" s="288"/>
      <c r="I963" s="293"/>
      <c r="J963" s="288"/>
      <c r="K963" s="288"/>
      <c r="L963" s="288"/>
    </row>
    <row r="964" spans="1:18" x14ac:dyDescent="0.2">
      <c r="C964" s="223"/>
      <c r="E964" s="222"/>
      <c r="F964" s="288"/>
      <c r="G964" s="469"/>
      <c r="H964" s="288"/>
      <c r="I964" s="293"/>
      <c r="J964" s="288"/>
      <c r="K964" s="288"/>
      <c r="L964" s="288"/>
    </row>
    <row r="965" spans="1:18" x14ac:dyDescent="0.2">
      <c r="A965" s="222">
        <f>A963+1</f>
        <v>20</v>
      </c>
      <c r="C965" s="219" t="s">
        <v>202</v>
      </c>
      <c r="E965" s="472">
        <f>B!D188</f>
        <v>39</v>
      </c>
      <c r="F965" s="472">
        <f>B!E188</f>
        <v>39</v>
      </c>
      <c r="G965" s="472">
        <f>B!F188</f>
        <v>39</v>
      </c>
      <c r="H965" s="472">
        <f>B!G188</f>
        <v>39</v>
      </c>
      <c r="I965" s="472">
        <f>B!H188</f>
        <v>39</v>
      </c>
      <c r="J965" s="472">
        <f>B!I188</f>
        <v>39</v>
      </c>
      <c r="K965" s="472">
        <f>B!J188</f>
        <v>39</v>
      </c>
      <c r="L965" s="472">
        <f>B!K188</f>
        <v>39</v>
      </c>
      <c r="M965" s="472">
        <f>B!L188</f>
        <v>39</v>
      </c>
      <c r="N965" s="472">
        <f>B!M188</f>
        <v>39</v>
      </c>
      <c r="O965" s="472">
        <f>B!N188</f>
        <v>39</v>
      </c>
      <c r="P965" s="472">
        <f>B!O188</f>
        <v>39</v>
      </c>
      <c r="Q965" s="473">
        <f>SUM(E965:P965)</f>
        <v>468</v>
      </c>
    </row>
    <row r="966" spans="1:18" x14ac:dyDescent="0.2">
      <c r="A966" s="222">
        <f>A965+1</f>
        <v>21</v>
      </c>
      <c r="C966" s="219" t="s">
        <v>210</v>
      </c>
      <c r="D966" s="781">
        <f>Input!H45</f>
        <v>1007.05</v>
      </c>
      <c r="E966" s="427">
        <f t="shared" ref="E966:P966" si="297">ROUND(E965*$D$966,2)</f>
        <v>39274.949999999997</v>
      </c>
      <c r="F966" s="427">
        <f t="shared" si="297"/>
        <v>39274.949999999997</v>
      </c>
      <c r="G966" s="427">
        <f t="shared" si="297"/>
        <v>39274.949999999997</v>
      </c>
      <c r="H966" s="427">
        <f t="shared" si="297"/>
        <v>39274.949999999997</v>
      </c>
      <c r="I966" s="427">
        <f t="shared" si="297"/>
        <v>39274.949999999997</v>
      </c>
      <c r="J966" s="427">
        <f t="shared" si="297"/>
        <v>39274.949999999997</v>
      </c>
      <c r="K966" s="427">
        <f t="shared" si="297"/>
        <v>39274.949999999997</v>
      </c>
      <c r="L966" s="427">
        <f t="shared" si="297"/>
        <v>39274.949999999997</v>
      </c>
      <c r="M966" s="427">
        <f t="shared" si="297"/>
        <v>39274.949999999997</v>
      </c>
      <c r="N966" s="427">
        <f t="shared" si="297"/>
        <v>39274.949999999997</v>
      </c>
      <c r="O966" s="427">
        <f t="shared" si="297"/>
        <v>39274.949999999997</v>
      </c>
      <c r="P966" s="427">
        <f t="shared" si="297"/>
        <v>39274.949999999997</v>
      </c>
      <c r="Q966" s="427">
        <f>SUM(E966:P966)</f>
        <v>471299.40000000008</v>
      </c>
      <c r="R966" s="428"/>
    </row>
    <row r="967" spans="1:18" x14ac:dyDescent="0.2">
      <c r="A967" s="222">
        <f>A966+1</f>
        <v>22</v>
      </c>
      <c r="C967" s="219" t="s">
        <v>217</v>
      </c>
      <c r="D967" s="781">
        <f>Input!I45</f>
        <v>55.9</v>
      </c>
      <c r="E967" s="427">
        <f t="shared" ref="E967:P967" si="298">ROUND(E965*$D$967,2)</f>
        <v>2180.1</v>
      </c>
      <c r="F967" s="427">
        <f t="shared" si="298"/>
        <v>2180.1</v>
      </c>
      <c r="G967" s="427">
        <f t="shared" si="298"/>
        <v>2180.1</v>
      </c>
      <c r="H967" s="427">
        <f t="shared" si="298"/>
        <v>2180.1</v>
      </c>
      <c r="I967" s="427">
        <f t="shared" si="298"/>
        <v>2180.1</v>
      </c>
      <c r="J967" s="427">
        <f t="shared" si="298"/>
        <v>2180.1</v>
      </c>
      <c r="K967" s="427">
        <f t="shared" si="298"/>
        <v>2180.1</v>
      </c>
      <c r="L967" s="427">
        <f t="shared" si="298"/>
        <v>2180.1</v>
      </c>
      <c r="M967" s="427">
        <f t="shared" si="298"/>
        <v>2180.1</v>
      </c>
      <c r="N967" s="427">
        <f t="shared" si="298"/>
        <v>2180.1</v>
      </c>
      <c r="O967" s="427">
        <f t="shared" si="298"/>
        <v>2180.1</v>
      </c>
      <c r="P967" s="427">
        <f t="shared" si="298"/>
        <v>2180.1</v>
      </c>
      <c r="Q967" s="427">
        <f>SUM(E967:P967)</f>
        <v>26161.199999999993</v>
      </c>
      <c r="R967" s="428"/>
    </row>
    <row r="968" spans="1:18" x14ac:dyDescent="0.2">
      <c r="A968" s="222">
        <f>A967+1</f>
        <v>23</v>
      </c>
      <c r="C968" s="219" t="s">
        <v>211</v>
      </c>
      <c r="D968" s="781">
        <f>Input!J45</f>
        <v>449.59</v>
      </c>
      <c r="E968" s="427">
        <f t="shared" ref="E968:P968" si="299">ROUND(E965*$D$968,2)</f>
        <v>17534.009999999998</v>
      </c>
      <c r="F968" s="427">
        <f t="shared" si="299"/>
        <v>17534.009999999998</v>
      </c>
      <c r="G968" s="427">
        <f t="shared" si="299"/>
        <v>17534.009999999998</v>
      </c>
      <c r="H968" s="427">
        <f t="shared" si="299"/>
        <v>17534.009999999998</v>
      </c>
      <c r="I968" s="427">
        <f t="shared" si="299"/>
        <v>17534.009999999998</v>
      </c>
      <c r="J968" s="427">
        <f t="shared" si="299"/>
        <v>17534.009999999998</v>
      </c>
      <c r="K968" s="427">
        <f t="shared" si="299"/>
        <v>17534.009999999998</v>
      </c>
      <c r="L968" s="427">
        <f t="shared" si="299"/>
        <v>17534.009999999998</v>
      </c>
      <c r="M968" s="427">
        <f t="shared" si="299"/>
        <v>17534.009999999998</v>
      </c>
      <c r="N968" s="427">
        <f t="shared" si="299"/>
        <v>17534.009999999998</v>
      </c>
      <c r="O968" s="427">
        <f t="shared" si="299"/>
        <v>17534.009999999998</v>
      </c>
      <c r="P968" s="427">
        <f t="shared" si="299"/>
        <v>17534.009999999998</v>
      </c>
      <c r="Q968" s="427">
        <f>SUM(E968:P968)</f>
        <v>210408.12000000002</v>
      </c>
      <c r="R968" s="428"/>
    </row>
    <row r="969" spans="1:18" x14ac:dyDescent="0.2">
      <c r="D969" s="286"/>
      <c r="E969" s="222"/>
      <c r="F969" s="288"/>
      <c r="G969" s="469"/>
      <c r="H969" s="288"/>
      <c r="I969" s="293"/>
      <c r="J969" s="288"/>
      <c r="K969" s="288"/>
      <c r="L969" s="288"/>
    </row>
    <row r="970" spans="1:18" x14ac:dyDescent="0.2">
      <c r="A970" s="222">
        <f>A968+1</f>
        <v>24</v>
      </c>
      <c r="C970" s="219" t="s">
        <v>209</v>
      </c>
      <c r="D970" s="286"/>
      <c r="E970" s="514"/>
      <c r="F970" s="288"/>
      <c r="G970" s="469"/>
      <c r="H970" s="288"/>
      <c r="I970" s="293"/>
      <c r="J970" s="288"/>
      <c r="K970" s="288"/>
      <c r="L970" s="288"/>
    </row>
    <row r="971" spans="1:18" x14ac:dyDescent="0.2">
      <c r="A971" s="222">
        <f>A970+1</f>
        <v>25</v>
      </c>
      <c r="C971" s="219" t="str">
        <f>'C'!B261</f>
        <v xml:space="preserve">    First 30,000 Mcf</v>
      </c>
      <c r="D971" s="286"/>
      <c r="E971" s="476">
        <f>'C'!D271</f>
        <v>362633.5</v>
      </c>
      <c r="F971" s="476">
        <f>'C'!E271</f>
        <v>336268.5</v>
      </c>
      <c r="G971" s="476">
        <f>'C'!F271</f>
        <v>309008.7</v>
      </c>
      <c r="H971" s="476">
        <f>'C'!G271</f>
        <v>289709.59999999998</v>
      </c>
      <c r="I971" s="476">
        <f>'C'!H271</f>
        <v>275128.8</v>
      </c>
      <c r="J971" s="476">
        <f>'C'!I271</f>
        <v>268134.09999999998</v>
      </c>
      <c r="K971" s="476">
        <f>'C'!J271</f>
        <v>242645.5</v>
      </c>
      <c r="L971" s="476">
        <f>'C'!K271</f>
        <v>267869.2</v>
      </c>
      <c r="M971" s="476">
        <f>'C'!L271</f>
        <v>280511.7</v>
      </c>
      <c r="N971" s="476">
        <f>'C'!M271</f>
        <v>309636.40000000002</v>
      </c>
      <c r="O971" s="476">
        <f>'C'!N271</f>
        <v>327494</v>
      </c>
      <c r="P971" s="476">
        <f>'C'!O271</f>
        <v>334941.40000000002</v>
      </c>
      <c r="Q971" s="477">
        <f>SUM(E971:P971)</f>
        <v>3603981.4</v>
      </c>
    </row>
    <row r="972" spans="1:18" x14ac:dyDescent="0.2">
      <c r="A972" s="222">
        <f>A971+1</f>
        <v>26</v>
      </c>
      <c r="C972" s="219" t="str">
        <f>'C'!B262</f>
        <v xml:space="preserve">    Next 70,000 Mcf</v>
      </c>
      <c r="D972" s="286"/>
      <c r="E972" s="476">
        <f>'C'!D272</f>
        <v>157996</v>
      </c>
      <c r="F972" s="476">
        <f>'C'!E272</f>
        <v>151150</v>
      </c>
      <c r="G972" s="476">
        <f>'C'!F272</f>
        <v>145282</v>
      </c>
      <c r="H972" s="476">
        <f>'C'!G272</f>
        <v>110734</v>
      </c>
      <c r="I972" s="476">
        <f>'C'!H272</f>
        <v>93864</v>
      </c>
      <c r="J972" s="476">
        <f>'C'!I272</f>
        <v>71370</v>
      </c>
      <c r="K972" s="476">
        <f>'C'!J272</f>
        <v>52470</v>
      </c>
      <c r="L972" s="476">
        <f>'C'!K272</f>
        <v>74304</v>
      </c>
      <c r="M972" s="476">
        <f>'C'!L272</f>
        <v>81150</v>
      </c>
      <c r="N972" s="476">
        <f>'C'!M272</f>
        <v>118558</v>
      </c>
      <c r="O972" s="476">
        <f>'C'!N272</f>
        <v>143008</v>
      </c>
      <c r="P972" s="476">
        <f>'C'!O272</f>
        <v>147898</v>
      </c>
      <c r="Q972" s="477">
        <f>SUM(E972:P972)</f>
        <v>1347784</v>
      </c>
    </row>
    <row r="973" spans="1:18" x14ac:dyDescent="0.2">
      <c r="A973" s="222">
        <f>A972+1</f>
        <v>27</v>
      </c>
      <c r="C973" s="219" t="str">
        <f>'C'!B263</f>
        <v xml:space="preserve">    Over 100,000 Mcf</v>
      </c>
      <c r="D973" s="512"/>
      <c r="E973" s="515">
        <f>'C'!D273</f>
        <v>154280</v>
      </c>
      <c r="F973" s="515">
        <f>'C'!E273</f>
        <v>115160</v>
      </c>
      <c r="G973" s="515">
        <f>'C'!F273</f>
        <v>71150</v>
      </c>
      <c r="H973" s="515">
        <f>'C'!G273</f>
        <v>27140</v>
      </c>
      <c r="I973" s="515">
        <f>'C'!H273</f>
        <v>0</v>
      </c>
      <c r="J973" s="515">
        <f>'C'!I273</f>
        <v>0</v>
      </c>
      <c r="K973" s="515">
        <f>'C'!J273</f>
        <v>0</v>
      </c>
      <c r="L973" s="515">
        <f>'C'!K273</f>
        <v>0</v>
      </c>
      <c r="M973" s="515">
        <f>'C'!L273</f>
        <v>0</v>
      </c>
      <c r="N973" s="515">
        <f>'C'!M273</f>
        <v>26162</v>
      </c>
      <c r="O973" s="515">
        <f>'C'!N273</f>
        <v>80930</v>
      </c>
      <c r="P973" s="515">
        <f>'C'!O273</f>
        <v>90710</v>
      </c>
      <c r="Q973" s="464">
        <f>SUM(E973:P973)</f>
        <v>565532</v>
      </c>
    </row>
    <row r="974" spans="1:18" x14ac:dyDescent="0.2">
      <c r="D974" s="512"/>
      <c r="E974" s="476">
        <f>SUM(E971:E973)</f>
        <v>674909.5</v>
      </c>
      <c r="F974" s="476">
        <f t="shared" ref="F974:P974" si="300">SUM(F971:F973)</f>
        <v>602578.5</v>
      </c>
      <c r="G974" s="476">
        <f t="shared" si="300"/>
        <v>525440.69999999995</v>
      </c>
      <c r="H974" s="476">
        <f t="shared" si="300"/>
        <v>427583.6</v>
      </c>
      <c r="I974" s="476">
        <f t="shared" si="300"/>
        <v>368992.8</v>
      </c>
      <c r="J974" s="476">
        <f t="shared" si="300"/>
        <v>339504.1</v>
      </c>
      <c r="K974" s="476">
        <f t="shared" si="300"/>
        <v>295115.5</v>
      </c>
      <c r="L974" s="476">
        <f t="shared" si="300"/>
        <v>342173.2</v>
      </c>
      <c r="M974" s="476">
        <f t="shared" si="300"/>
        <v>361661.7</v>
      </c>
      <c r="N974" s="476">
        <f t="shared" si="300"/>
        <v>454356.4</v>
      </c>
      <c r="O974" s="476">
        <f t="shared" si="300"/>
        <v>551432</v>
      </c>
      <c r="P974" s="476">
        <f t="shared" si="300"/>
        <v>573549.4</v>
      </c>
      <c r="Q974" s="476">
        <f>SUM(E974:P974)</f>
        <v>5517297.4000000004</v>
      </c>
    </row>
    <row r="975" spans="1:18" x14ac:dyDescent="0.2">
      <c r="A975" s="222">
        <f>A973+1</f>
        <v>28</v>
      </c>
      <c r="C975" s="219" t="s">
        <v>207</v>
      </c>
      <c r="D975" s="512"/>
      <c r="E975" s="222"/>
      <c r="F975" s="495"/>
      <c r="G975" s="469"/>
      <c r="H975" s="495"/>
      <c r="I975" s="497"/>
      <c r="J975" s="530"/>
      <c r="K975" s="495"/>
      <c r="L975" s="495"/>
      <c r="M975" s="415"/>
      <c r="N975" s="415"/>
      <c r="O975" s="415"/>
      <c r="P975" s="415"/>
      <c r="Q975" s="412"/>
    </row>
    <row r="976" spans="1:18" x14ac:dyDescent="0.2">
      <c r="A976" s="222">
        <f>A975+1</f>
        <v>29</v>
      </c>
      <c r="C976" s="219" t="str">
        <f>C971</f>
        <v xml:space="preserve">    First 30,000 Mcf</v>
      </c>
      <c r="D976" s="782">
        <f>Input!C45</f>
        <v>0.54430000000000001</v>
      </c>
      <c r="E976" s="427">
        <f t="shared" ref="E976:P976" si="301">ROUND(E971*$D$976,2)</f>
        <v>197381.41</v>
      </c>
      <c r="F976" s="427">
        <f t="shared" si="301"/>
        <v>183030.94</v>
      </c>
      <c r="G976" s="427">
        <f t="shared" si="301"/>
        <v>168193.44</v>
      </c>
      <c r="H976" s="427">
        <f t="shared" si="301"/>
        <v>157688.94</v>
      </c>
      <c r="I976" s="427">
        <f t="shared" si="301"/>
        <v>149752.60999999999</v>
      </c>
      <c r="J976" s="427">
        <f t="shared" si="301"/>
        <v>145945.39000000001</v>
      </c>
      <c r="K976" s="427">
        <f t="shared" si="301"/>
        <v>132071.95000000001</v>
      </c>
      <c r="L976" s="427">
        <f t="shared" si="301"/>
        <v>145801.21</v>
      </c>
      <c r="M976" s="427">
        <f t="shared" si="301"/>
        <v>152682.51999999999</v>
      </c>
      <c r="N976" s="427">
        <f t="shared" si="301"/>
        <v>168535.09</v>
      </c>
      <c r="O976" s="427">
        <f t="shared" si="301"/>
        <v>178254.98</v>
      </c>
      <c r="P976" s="427">
        <f t="shared" si="301"/>
        <v>182308.6</v>
      </c>
      <c r="Q976" s="427">
        <f>SUM(E976:P976)</f>
        <v>1961647.08</v>
      </c>
      <c r="R976" s="428"/>
    </row>
    <row r="977" spans="1:18" x14ac:dyDescent="0.2">
      <c r="A977" s="222">
        <f>A976+1</f>
        <v>30</v>
      </c>
      <c r="C977" s="219" t="str">
        <f>C972</f>
        <v xml:space="preserve">    Next 70,000 Mcf</v>
      </c>
      <c r="D977" s="782">
        <f>Input!D45</f>
        <v>0.28899999999999998</v>
      </c>
      <c r="E977" s="893">
        <f>ROUND(E972*$D$977,2)</f>
        <v>45660.84</v>
      </c>
      <c r="F977" s="893">
        <f t="shared" ref="F977:P977" si="302">ROUND(F972*$D$977,2)</f>
        <v>43682.35</v>
      </c>
      <c r="G977" s="893">
        <f t="shared" si="302"/>
        <v>41986.5</v>
      </c>
      <c r="H977" s="893">
        <f t="shared" si="302"/>
        <v>32002.13</v>
      </c>
      <c r="I977" s="893">
        <f t="shared" si="302"/>
        <v>27126.7</v>
      </c>
      <c r="J977" s="893">
        <f t="shared" si="302"/>
        <v>20625.93</v>
      </c>
      <c r="K977" s="893">
        <f t="shared" si="302"/>
        <v>15163.83</v>
      </c>
      <c r="L977" s="893">
        <f t="shared" si="302"/>
        <v>21473.86</v>
      </c>
      <c r="M977" s="893">
        <f t="shared" si="302"/>
        <v>23452.35</v>
      </c>
      <c r="N977" s="893">
        <f t="shared" si="302"/>
        <v>34263.26</v>
      </c>
      <c r="O977" s="893">
        <f t="shared" si="302"/>
        <v>41329.31</v>
      </c>
      <c r="P977" s="893">
        <f t="shared" si="302"/>
        <v>42742.52</v>
      </c>
      <c r="Q977" s="893">
        <f>SUM(E977:P977)</f>
        <v>389509.58</v>
      </c>
      <c r="R977" s="428"/>
    </row>
    <row r="978" spans="1:18" x14ac:dyDescent="0.2">
      <c r="A978" s="222">
        <f>A977+1</f>
        <v>31</v>
      </c>
      <c r="C978" s="219" t="str">
        <f>C973</f>
        <v xml:space="preserve">    Over 100,000 Mcf</v>
      </c>
      <c r="D978" s="782">
        <f>Input!E45</f>
        <v>0.28899999999999998</v>
      </c>
      <c r="E978" s="273">
        <f t="shared" ref="E978:P978" si="303">ROUND(E973*$D$978,2)</f>
        <v>44586.92</v>
      </c>
      <c r="F978" s="273">
        <f t="shared" si="303"/>
        <v>33281.24</v>
      </c>
      <c r="G978" s="273">
        <f t="shared" si="303"/>
        <v>20562.349999999999</v>
      </c>
      <c r="H978" s="273">
        <f t="shared" si="303"/>
        <v>7843.46</v>
      </c>
      <c r="I978" s="273">
        <f t="shared" si="303"/>
        <v>0</v>
      </c>
      <c r="J978" s="273">
        <f t="shared" si="303"/>
        <v>0</v>
      </c>
      <c r="K978" s="273">
        <f t="shared" si="303"/>
        <v>0</v>
      </c>
      <c r="L978" s="273">
        <f t="shared" si="303"/>
        <v>0</v>
      </c>
      <c r="M978" s="273">
        <f t="shared" si="303"/>
        <v>0</v>
      </c>
      <c r="N978" s="273">
        <f t="shared" si="303"/>
        <v>7560.82</v>
      </c>
      <c r="O978" s="273">
        <f t="shared" si="303"/>
        <v>23388.77</v>
      </c>
      <c r="P978" s="273">
        <f t="shared" si="303"/>
        <v>26215.19</v>
      </c>
      <c r="Q978" s="273">
        <f>SUM(E978:P978)</f>
        <v>163438.75</v>
      </c>
      <c r="R978" s="428"/>
    </row>
    <row r="979" spans="1:18" x14ac:dyDescent="0.2">
      <c r="D979" s="512"/>
      <c r="E979" s="427">
        <f t="shared" ref="E979:O979" si="304">SUM(E976:E978)</f>
        <v>287629.17</v>
      </c>
      <c r="F979" s="427">
        <f t="shared" si="304"/>
        <v>259994.53</v>
      </c>
      <c r="G979" s="427">
        <f t="shared" si="304"/>
        <v>230742.29</v>
      </c>
      <c r="H979" s="427">
        <f t="shared" si="304"/>
        <v>197534.53</v>
      </c>
      <c r="I979" s="427">
        <f t="shared" si="304"/>
        <v>176879.31</v>
      </c>
      <c r="J979" s="427">
        <f t="shared" si="304"/>
        <v>166571.32</v>
      </c>
      <c r="K979" s="427">
        <f t="shared" si="304"/>
        <v>147235.78</v>
      </c>
      <c r="L979" s="427">
        <f t="shared" si="304"/>
        <v>167275.07</v>
      </c>
      <c r="M979" s="427">
        <f t="shared" si="304"/>
        <v>176134.87</v>
      </c>
      <c r="N979" s="427">
        <f t="shared" si="304"/>
        <v>210359.17</v>
      </c>
      <c r="O979" s="427">
        <f t="shared" si="304"/>
        <v>242973.06</v>
      </c>
      <c r="P979" s="427">
        <f>SUM(P976:P978)</f>
        <v>251266.31</v>
      </c>
      <c r="Q979" s="427">
        <f>SUM(E979:P979)</f>
        <v>2514595.41</v>
      </c>
      <c r="R979" s="428"/>
    </row>
    <row r="980" spans="1:18" x14ac:dyDescent="0.2">
      <c r="D980" s="512"/>
      <c r="E980" s="466"/>
      <c r="F980" s="531"/>
      <c r="G980" s="466"/>
      <c r="H980" s="531"/>
      <c r="I980" s="531"/>
      <c r="J980" s="532"/>
      <c r="K980" s="531"/>
      <c r="L980" s="531"/>
      <c r="M980" s="503"/>
      <c r="N980" s="503"/>
      <c r="O980" s="503"/>
      <c r="P980" s="503"/>
      <c r="Q980" s="459"/>
    </row>
    <row r="981" spans="1:18" x14ac:dyDescent="0.2">
      <c r="A981" s="222">
        <f>A978+1</f>
        <v>32</v>
      </c>
      <c r="C981" s="219" t="s">
        <v>204</v>
      </c>
      <c r="D981" s="512"/>
      <c r="E981" s="427">
        <f t="shared" ref="E981:O981" si="305">E966+E967+E968+E979</f>
        <v>346618.23</v>
      </c>
      <c r="F981" s="427">
        <f t="shared" si="305"/>
        <v>318983.58999999997</v>
      </c>
      <c r="G981" s="427">
        <f t="shared" si="305"/>
        <v>289731.34999999998</v>
      </c>
      <c r="H981" s="427">
        <f t="shared" si="305"/>
        <v>256523.59</v>
      </c>
      <c r="I981" s="427">
        <f t="shared" si="305"/>
        <v>235868.37</v>
      </c>
      <c r="J981" s="427">
        <f t="shared" si="305"/>
        <v>225560.38</v>
      </c>
      <c r="K981" s="427">
        <f t="shared" si="305"/>
        <v>206224.84</v>
      </c>
      <c r="L981" s="427">
        <f t="shared" si="305"/>
        <v>226264.13</v>
      </c>
      <c r="M981" s="427">
        <f t="shared" si="305"/>
        <v>235123.93</v>
      </c>
      <c r="N981" s="427">
        <f t="shared" si="305"/>
        <v>269348.23</v>
      </c>
      <c r="O981" s="427">
        <f t="shared" si="305"/>
        <v>301962.12</v>
      </c>
      <c r="P981" s="427">
        <f>P966+P967+P968+P979</f>
        <v>310255.37</v>
      </c>
      <c r="Q981" s="427">
        <f>SUM(E981:P981)</f>
        <v>3222464.1300000004</v>
      </c>
    </row>
    <row r="982" spans="1:18" x14ac:dyDescent="0.2">
      <c r="D982" s="512"/>
      <c r="E982" s="466"/>
      <c r="F982" s="531"/>
      <c r="G982" s="466"/>
      <c r="H982" s="531"/>
      <c r="I982" s="531"/>
      <c r="J982" s="532"/>
      <c r="K982" s="531"/>
      <c r="L982" s="531"/>
      <c r="M982" s="503"/>
      <c r="N982" s="503"/>
      <c r="O982" s="503"/>
      <c r="P982" s="503"/>
      <c r="Q982" s="459"/>
    </row>
    <row r="983" spans="1:18" x14ac:dyDescent="0.2">
      <c r="A983" s="222">
        <f>A981+1</f>
        <v>33</v>
      </c>
      <c r="C983" s="219" t="s">
        <v>151</v>
      </c>
      <c r="D983" s="783">
        <v>0</v>
      </c>
      <c r="E983" s="510">
        <v>0</v>
      </c>
      <c r="F983" s="510">
        <v>0</v>
      </c>
      <c r="G983" s="510">
        <v>0</v>
      </c>
      <c r="H983" s="510">
        <v>0</v>
      </c>
      <c r="I983" s="510">
        <v>0</v>
      </c>
      <c r="J983" s="510">
        <v>0</v>
      </c>
      <c r="K983" s="510">
        <v>0</v>
      </c>
      <c r="L983" s="510">
        <v>0</v>
      </c>
      <c r="M983" s="510">
        <v>0</v>
      </c>
      <c r="N983" s="510">
        <v>0</v>
      </c>
      <c r="O983" s="510">
        <v>0</v>
      </c>
      <c r="P983" s="510">
        <v>0</v>
      </c>
      <c r="Q983" s="427">
        <f>SUM(E983:P983)</f>
        <v>0</v>
      </c>
    </row>
    <row r="984" spans="1:18" x14ac:dyDescent="0.2">
      <c r="D984" s="511"/>
      <c r="E984" s="459"/>
      <c r="F984" s="484"/>
      <c r="G984" s="484"/>
      <c r="H984" s="484"/>
      <c r="I984" s="484"/>
      <c r="J984" s="533"/>
      <c r="K984" s="484"/>
      <c r="L984" s="484"/>
      <c r="M984" s="484"/>
      <c r="N984" s="484"/>
      <c r="O984" s="484"/>
      <c r="P984" s="484"/>
      <c r="Q984" s="459"/>
    </row>
    <row r="985" spans="1:18" ht="10.8" thickBot="1" x14ac:dyDescent="0.25">
      <c r="A985" s="488">
        <f>A983+1</f>
        <v>34</v>
      </c>
      <c r="B985" s="489"/>
      <c r="C985" s="489" t="s">
        <v>205</v>
      </c>
      <c r="D985" s="527"/>
      <c r="E985" s="492">
        <f t="shared" ref="E985:O985" si="306">E981+E983</f>
        <v>346618.23</v>
      </c>
      <c r="F985" s="492">
        <f t="shared" si="306"/>
        <v>318983.58999999997</v>
      </c>
      <c r="G985" s="492">
        <f t="shared" si="306"/>
        <v>289731.34999999998</v>
      </c>
      <c r="H985" s="492">
        <f t="shared" si="306"/>
        <v>256523.59</v>
      </c>
      <c r="I985" s="492">
        <f t="shared" si="306"/>
        <v>235868.37</v>
      </c>
      <c r="J985" s="492">
        <f t="shared" si="306"/>
        <v>225560.38</v>
      </c>
      <c r="K985" s="492">
        <f t="shared" si="306"/>
        <v>206224.84</v>
      </c>
      <c r="L985" s="492">
        <f t="shared" si="306"/>
        <v>226264.13</v>
      </c>
      <c r="M985" s="492">
        <f t="shared" si="306"/>
        <v>235123.93</v>
      </c>
      <c r="N985" s="492">
        <f t="shared" si="306"/>
        <v>269348.23</v>
      </c>
      <c r="O985" s="492">
        <f t="shared" si="306"/>
        <v>301962.12</v>
      </c>
      <c r="P985" s="492">
        <f>P981+P983</f>
        <v>310255.37</v>
      </c>
      <c r="Q985" s="492">
        <f>SUM(E985:P985)</f>
        <v>3222464.1300000004</v>
      </c>
      <c r="R985" s="428"/>
    </row>
    <row r="986" spans="1:18" ht="10.8" thickTop="1" x14ac:dyDescent="0.2">
      <c r="Q986" s="517"/>
      <c r="R986" s="432"/>
    </row>
    <row r="988" spans="1:18" x14ac:dyDescent="0.2">
      <c r="A988" s="222" t="str">
        <f>$A$270</f>
        <v>[1] Reflects Normalized Volumes.</v>
      </c>
    </row>
    <row r="989" spans="1:18" x14ac:dyDescent="0.2">
      <c r="A989" s="993" t="str">
        <f>CONAME</f>
        <v>Columbia Gas of Kentucky, Inc.</v>
      </c>
      <c r="B989" s="993"/>
      <c r="C989" s="993"/>
      <c r="D989" s="993"/>
      <c r="E989" s="993"/>
      <c r="F989" s="993"/>
      <c r="G989" s="993"/>
      <c r="H989" s="993"/>
      <c r="I989" s="993"/>
      <c r="J989" s="993"/>
      <c r="K989" s="993"/>
      <c r="L989" s="993"/>
      <c r="M989" s="993"/>
      <c r="N989" s="993"/>
      <c r="O989" s="993"/>
      <c r="P989" s="993"/>
      <c r="Q989" s="993"/>
    </row>
    <row r="990" spans="1:18" x14ac:dyDescent="0.2">
      <c r="A990" s="981" t="str">
        <f>case</f>
        <v>Case No. 2016-00162</v>
      </c>
      <c r="B990" s="981"/>
      <c r="C990" s="981"/>
      <c r="D990" s="981"/>
      <c r="E990" s="981"/>
      <c r="F990" s="981"/>
      <c r="G990" s="981"/>
      <c r="H990" s="981"/>
      <c r="I990" s="981"/>
      <c r="J990" s="981"/>
      <c r="K990" s="981"/>
      <c r="L990" s="981"/>
      <c r="M990" s="981"/>
      <c r="N990" s="981"/>
      <c r="O990" s="981"/>
      <c r="P990" s="981"/>
      <c r="Q990" s="981"/>
    </row>
    <row r="991" spans="1:18" x14ac:dyDescent="0.2">
      <c r="A991" s="994" t="s">
        <v>494</v>
      </c>
      <c r="B991" s="994"/>
      <c r="C991" s="994"/>
      <c r="D991" s="994"/>
      <c r="E991" s="994"/>
      <c r="F991" s="994"/>
      <c r="G991" s="994"/>
      <c r="H991" s="994"/>
      <c r="I991" s="994"/>
      <c r="J991" s="994"/>
      <c r="K991" s="994"/>
      <c r="L991" s="994"/>
      <c r="M991" s="994"/>
      <c r="N991" s="994"/>
      <c r="O991" s="994"/>
      <c r="P991" s="994"/>
      <c r="Q991" s="994"/>
    </row>
    <row r="992" spans="1:18" x14ac:dyDescent="0.2">
      <c r="A992" s="993" t="str">
        <f>TYDESC</f>
        <v>For the 12 Months Ended December 31, 2017</v>
      </c>
      <c r="B992" s="993"/>
      <c r="C992" s="993"/>
      <c r="D992" s="993"/>
      <c r="E992" s="993"/>
      <c r="F992" s="993"/>
      <c r="G992" s="993"/>
      <c r="H992" s="993"/>
      <c r="I992" s="993"/>
      <c r="J992" s="993"/>
      <c r="K992" s="993"/>
      <c r="L992" s="993"/>
      <c r="M992" s="993"/>
      <c r="N992" s="993"/>
      <c r="O992" s="993"/>
      <c r="P992" s="993"/>
      <c r="Q992" s="993"/>
    </row>
    <row r="993" spans="1:17" x14ac:dyDescent="0.2">
      <c r="A993" s="991" t="s">
        <v>39</v>
      </c>
      <c r="B993" s="991"/>
      <c r="C993" s="991"/>
      <c r="D993" s="991"/>
      <c r="E993" s="991"/>
      <c r="F993" s="991"/>
      <c r="G993" s="991"/>
      <c r="H993" s="991"/>
      <c r="I993" s="991"/>
      <c r="J993" s="991"/>
      <c r="K993" s="991"/>
      <c r="L993" s="991"/>
      <c r="M993" s="991"/>
      <c r="N993" s="991"/>
      <c r="O993" s="991"/>
      <c r="P993" s="991"/>
      <c r="Q993" s="991"/>
    </row>
    <row r="994" spans="1:17" x14ac:dyDescent="0.2">
      <c r="A994" s="262" t="str">
        <f>$A$52</f>
        <v>Data: __ Base Period _X_ Forecasted Period</v>
      </c>
    </row>
    <row r="995" spans="1:17" x14ac:dyDescent="0.2">
      <c r="A995" s="262" t="str">
        <f>$A$53</f>
        <v>Type of Filing: X Original _ Update _ Revised</v>
      </c>
      <c r="Q995" s="413" t="str">
        <f>$Q$53</f>
        <v>Schedule M-2.2</v>
      </c>
    </row>
    <row r="996" spans="1:17" x14ac:dyDescent="0.2">
      <c r="A996" s="262" t="str">
        <f>$A$54</f>
        <v>Work Paper Reference No(s):</v>
      </c>
      <c r="Q996" s="413" t="s">
        <v>506</v>
      </c>
    </row>
    <row r="997" spans="1:17" x14ac:dyDescent="0.2">
      <c r="A997" s="414" t="str">
        <f>$A$55</f>
        <v>12 Months Forecasted</v>
      </c>
      <c r="Q997" s="413" t="str">
        <f>Witness</f>
        <v>Witness:  M. J. Bell</v>
      </c>
    </row>
    <row r="998" spans="1:17" x14ac:dyDescent="0.2">
      <c r="A998" s="992" t="s">
        <v>194</v>
      </c>
      <c r="B998" s="992"/>
      <c r="C998" s="992"/>
      <c r="D998" s="992"/>
      <c r="E998" s="992"/>
      <c r="F998" s="992"/>
      <c r="G998" s="992"/>
      <c r="H998" s="992"/>
      <c r="I998" s="992"/>
      <c r="J998" s="992"/>
      <c r="K998" s="992"/>
      <c r="L998" s="992"/>
      <c r="M998" s="992"/>
      <c r="N998" s="992"/>
      <c r="O998" s="992"/>
      <c r="P998" s="992"/>
      <c r="Q998" s="992"/>
    </row>
    <row r="999" spans="1:17" x14ac:dyDescent="0.2">
      <c r="A999" s="433"/>
      <c r="B999" s="301"/>
      <c r="C999" s="301"/>
      <c r="D999" s="300"/>
      <c r="E999" s="301"/>
      <c r="F999" s="415"/>
      <c r="G999" s="435"/>
      <c r="H999" s="415"/>
      <c r="I999" s="436"/>
      <c r="J999" s="415"/>
      <c r="K999" s="415"/>
      <c r="L999" s="415"/>
      <c r="M999" s="415"/>
      <c r="N999" s="415"/>
      <c r="O999" s="415"/>
      <c r="P999" s="415"/>
      <c r="Q999" s="301"/>
    </row>
    <row r="1000" spans="1:17" x14ac:dyDescent="0.2">
      <c r="A1000" s="410" t="s">
        <v>1</v>
      </c>
      <c r="B1000" s="224" t="s">
        <v>0</v>
      </c>
      <c r="C1000" s="224" t="s">
        <v>41</v>
      </c>
      <c r="D1000" s="416" t="s">
        <v>47</v>
      </c>
      <c r="E1000" s="224"/>
      <c r="F1000" s="417"/>
      <c r="G1000" s="418"/>
      <c r="H1000" s="417"/>
      <c r="I1000" s="419"/>
      <c r="J1000" s="417"/>
      <c r="K1000" s="417"/>
      <c r="L1000" s="417"/>
      <c r="M1000" s="417"/>
      <c r="N1000" s="417"/>
      <c r="O1000" s="417"/>
      <c r="P1000" s="417"/>
      <c r="Q1000" s="229"/>
    </row>
    <row r="1001" spans="1:17" x14ac:dyDescent="0.2">
      <c r="A1001" s="281" t="s">
        <v>3</v>
      </c>
      <c r="B1001" s="226" t="s">
        <v>40</v>
      </c>
      <c r="C1001" s="226" t="s">
        <v>4</v>
      </c>
      <c r="D1001" s="420" t="s">
        <v>48</v>
      </c>
      <c r="E1001" s="421" t="str">
        <f>B!$D$11</f>
        <v>Jan-17</v>
      </c>
      <c r="F1001" s="421" t="str">
        <f>B!$E$11</f>
        <v>Feb-17</v>
      </c>
      <c r="G1001" s="421" t="str">
        <f>B!$F$11</f>
        <v>Mar-17</v>
      </c>
      <c r="H1001" s="421" t="str">
        <f>B!$G$11</f>
        <v>Apr-17</v>
      </c>
      <c r="I1001" s="421" t="str">
        <f>B!$H$11</f>
        <v>May-17</v>
      </c>
      <c r="J1001" s="421" t="str">
        <f>B!$I$11</f>
        <v>Jun-17</v>
      </c>
      <c r="K1001" s="421" t="str">
        <f>B!$J$11</f>
        <v>Jul-17</v>
      </c>
      <c r="L1001" s="421" t="str">
        <f>B!$K$11</f>
        <v>Aug-17</v>
      </c>
      <c r="M1001" s="421" t="str">
        <f>B!$L$11</f>
        <v>Sep-17</v>
      </c>
      <c r="N1001" s="421" t="str">
        <f>B!$M$11</f>
        <v>Oct-17</v>
      </c>
      <c r="O1001" s="421" t="str">
        <f>B!$N$11</f>
        <v>Nov-17</v>
      </c>
      <c r="P1001" s="421" t="str">
        <f>B!$O$11</f>
        <v>Dec-17</v>
      </c>
      <c r="Q1001" s="422" t="s">
        <v>9</v>
      </c>
    </row>
    <row r="1002" spans="1:17" x14ac:dyDescent="0.2">
      <c r="A1002" s="410"/>
      <c r="B1002" s="229" t="s">
        <v>42</v>
      </c>
      <c r="C1002" s="229" t="s">
        <v>43</v>
      </c>
      <c r="D1002" s="423" t="s">
        <v>45</v>
      </c>
      <c r="E1002" s="424" t="s">
        <v>46</v>
      </c>
      <c r="F1002" s="424" t="s">
        <v>49</v>
      </c>
      <c r="G1002" s="424" t="s">
        <v>50</v>
      </c>
      <c r="H1002" s="424" t="s">
        <v>51</v>
      </c>
      <c r="I1002" s="424" t="s">
        <v>52</v>
      </c>
      <c r="J1002" s="424" t="s">
        <v>53</v>
      </c>
      <c r="K1002" s="425" t="s">
        <v>54</v>
      </c>
      <c r="L1002" s="425" t="s">
        <v>55</v>
      </c>
      <c r="M1002" s="425" t="s">
        <v>56</v>
      </c>
      <c r="N1002" s="425" t="s">
        <v>57</v>
      </c>
      <c r="O1002" s="425" t="s">
        <v>58</v>
      </c>
      <c r="P1002" s="425" t="s">
        <v>59</v>
      </c>
      <c r="Q1002" s="425" t="s">
        <v>203</v>
      </c>
    </row>
    <row r="1004" spans="1:17" x14ac:dyDescent="0.2">
      <c r="A1004" s="222">
        <v>1</v>
      </c>
      <c r="B1004" s="219" t="str">
        <f>B262</f>
        <v>GDS</v>
      </c>
      <c r="C1004" s="219" t="str">
        <f>C262</f>
        <v>GTS Grandfathered Delivery Service - Commercial</v>
      </c>
    </row>
    <row r="1006" spans="1:17" x14ac:dyDescent="0.2">
      <c r="A1006" s="222">
        <f>A1004+1</f>
        <v>2</v>
      </c>
      <c r="C1006" s="223" t="s">
        <v>111</v>
      </c>
    </row>
    <row r="1007" spans="1:17" x14ac:dyDescent="0.2">
      <c r="C1007" s="223"/>
    </row>
    <row r="1008" spans="1:17" x14ac:dyDescent="0.2">
      <c r="A1008" s="222">
        <f>A1006+1</f>
        <v>3</v>
      </c>
      <c r="C1008" s="219" t="s">
        <v>202</v>
      </c>
      <c r="E1008" s="472">
        <f>B!D194</f>
        <v>12</v>
      </c>
      <c r="F1008" s="472">
        <f>B!E194</f>
        <v>12</v>
      </c>
      <c r="G1008" s="472">
        <f>B!F194</f>
        <v>12</v>
      </c>
      <c r="H1008" s="472">
        <f>B!G194</f>
        <v>12</v>
      </c>
      <c r="I1008" s="472">
        <f>B!H194</f>
        <v>12</v>
      </c>
      <c r="J1008" s="472">
        <f>B!I194</f>
        <v>12</v>
      </c>
      <c r="K1008" s="472">
        <f>B!J194</f>
        <v>12</v>
      </c>
      <c r="L1008" s="472">
        <f>B!K194</f>
        <v>12</v>
      </c>
      <c r="M1008" s="472">
        <f>B!L194</f>
        <v>12</v>
      </c>
      <c r="N1008" s="472">
        <f>B!M194</f>
        <v>12</v>
      </c>
      <c r="O1008" s="472">
        <f>B!N194</f>
        <v>13</v>
      </c>
      <c r="P1008" s="472">
        <f>B!O194</f>
        <v>12</v>
      </c>
      <c r="Q1008" s="473">
        <f>SUM(E1008:P1008)</f>
        <v>145</v>
      </c>
    </row>
    <row r="1009" spans="1:17" x14ac:dyDescent="0.2">
      <c r="A1009" s="222">
        <f>A1008+1</f>
        <v>4</v>
      </c>
      <c r="C1009" s="219" t="s">
        <v>210</v>
      </c>
      <c r="D1009" s="781">
        <f>Input!H46</f>
        <v>37.5</v>
      </c>
      <c r="E1009" s="427">
        <f t="shared" ref="E1009:P1009" si="307">ROUND(E1008*$D$1009,2)</f>
        <v>450</v>
      </c>
      <c r="F1009" s="427">
        <f t="shared" si="307"/>
        <v>450</v>
      </c>
      <c r="G1009" s="427">
        <f t="shared" si="307"/>
        <v>450</v>
      </c>
      <c r="H1009" s="427">
        <f t="shared" si="307"/>
        <v>450</v>
      </c>
      <c r="I1009" s="427">
        <f t="shared" si="307"/>
        <v>450</v>
      </c>
      <c r="J1009" s="427">
        <f t="shared" si="307"/>
        <v>450</v>
      </c>
      <c r="K1009" s="427">
        <f t="shared" si="307"/>
        <v>450</v>
      </c>
      <c r="L1009" s="427">
        <f t="shared" si="307"/>
        <v>450</v>
      </c>
      <c r="M1009" s="427">
        <f t="shared" si="307"/>
        <v>450</v>
      </c>
      <c r="N1009" s="427">
        <f t="shared" si="307"/>
        <v>450</v>
      </c>
      <c r="O1009" s="427">
        <f t="shared" si="307"/>
        <v>487.5</v>
      </c>
      <c r="P1009" s="427">
        <f t="shared" si="307"/>
        <v>450</v>
      </c>
      <c r="Q1009" s="427">
        <f>SUM(E1009:P1009)</f>
        <v>5437.5</v>
      </c>
    </row>
    <row r="1010" spans="1:17" x14ac:dyDescent="0.2">
      <c r="A1010" s="222">
        <f>A1009+1</f>
        <v>5</v>
      </c>
      <c r="C1010" s="219" t="s">
        <v>217</v>
      </c>
      <c r="D1010" s="781">
        <f>Input!I46</f>
        <v>55.9</v>
      </c>
      <c r="E1010" s="427">
        <f t="shared" ref="E1010:P1010" si="308">ROUND(E1008*$D$1010,2)</f>
        <v>670.8</v>
      </c>
      <c r="F1010" s="427">
        <f t="shared" si="308"/>
        <v>670.8</v>
      </c>
      <c r="G1010" s="427">
        <f t="shared" si="308"/>
        <v>670.8</v>
      </c>
      <c r="H1010" s="427">
        <f t="shared" si="308"/>
        <v>670.8</v>
      </c>
      <c r="I1010" s="427">
        <f t="shared" si="308"/>
        <v>670.8</v>
      </c>
      <c r="J1010" s="427">
        <f t="shared" si="308"/>
        <v>670.8</v>
      </c>
      <c r="K1010" s="427">
        <f t="shared" si="308"/>
        <v>670.8</v>
      </c>
      <c r="L1010" s="427">
        <f t="shared" si="308"/>
        <v>670.8</v>
      </c>
      <c r="M1010" s="427">
        <f t="shared" si="308"/>
        <v>670.8</v>
      </c>
      <c r="N1010" s="427">
        <f t="shared" si="308"/>
        <v>670.8</v>
      </c>
      <c r="O1010" s="427">
        <f t="shared" si="308"/>
        <v>726.7</v>
      </c>
      <c r="P1010" s="427">
        <f t="shared" si="308"/>
        <v>670.8</v>
      </c>
      <c r="Q1010" s="427">
        <f>SUM(E1010:P1010)</f>
        <v>8105.5000000000009</v>
      </c>
    </row>
    <row r="1011" spans="1:17" x14ac:dyDescent="0.2">
      <c r="A1011" s="222">
        <f>A1010+1</f>
        <v>6</v>
      </c>
      <c r="C1011" s="219" t="s">
        <v>211</v>
      </c>
      <c r="D1011" s="781">
        <f>Input!J46</f>
        <v>8.02</v>
      </c>
      <c r="E1011" s="427">
        <f t="shared" ref="E1011:P1011" si="309">ROUND(E1008*$D$1011,2)</f>
        <v>96.24</v>
      </c>
      <c r="F1011" s="427">
        <f t="shared" si="309"/>
        <v>96.24</v>
      </c>
      <c r="G1011" s="427">
        <f t="shared" si="309"/>
        <v>96.24</v>
      </c>
      <c r="H1011" s="427">
        <f t="shared" si="309"/>
        <v>96.24</v>
      </c>
      <c r="I1011" s="427">
        <f t="shared" si="309"/>
        <v>96.24</v>
      </c>
      <c r="J1011" s="427">
        <f t="shared" si="309"/>
        <v>96.24</v>
      </c>
      <c r="K1011" s="427">
        <f t="shared" si="309"/>
        <v>96.24</v>
      </c>
      <c r="L1011" s="427">
        <f t="shared" si="309"/>
        <v>96.24</v>
      </c>
      <c r="M1011" s="427">
        <f t="shared" si="309"/>
        <v>96.24</v>
      </c>
      <c r="N1011" s="427">
        <f t="shared" si="309"/>
        <v>96.24</v>
      </c>
      <c r="O1011" s="427">
        <f t="shared" si="309"/>
        <v>104.26</v>
      </c>
      <c r="P1011" s="427">
        <f t="shared" si="309"/>
        <v>96.24</v>
      </c>
      <c r="Q1011" s="427">
        <f>SUM(E1011:P1011)</f>
        <v>1162.9000000000001</v>
      </c>
    </row>
    <row r="1012" spans="1:17" x14ac:dyDescent="0.2">
      <c r="D1012" s="286"/>
      <c r="E1012" s="514"/>
      <c r="F1012" s="288"/>
      <c r="G1012" s="469"/>
      <c r="H1012" s="288"/>
      <c r="I1012" s="293"/>
      <c r="J1012" s="288"/>
      <c r="K1012" s="288"/>
    </row>
    <row r="1013" spans="1:17" x14ac:dyDescent="0.2">
      <c r="A1013" s="222">
        <f>A1011+1</f>
        <v>7</v>
      </c>
      <c r="C1013" s="219" t="s">
        <v>209</v>
      </c>
      <c r="D1013" s="286"/>
      <c r="F1013" s="219"/>
      <c r="G1013" s="219"/>
      <c r="H1013" s="219"/>
      <c r="I1013" s="219"/>
      <c r="J1013" s="219"/>
      <c r="K1013" s="219"/>
      <c r="L1013" s="219"/>
      <c r="M1013" s="219"/>
      <c r="N1013" s="219"/>
      <c r="O1013" s="219"/>
      <c r="P1013" s="219"/>
    </row>
    <row r="1014" spans="1:17" x14ac:dyDescent="0.2">
      <c r="A1014" s="222">
        <f>A1013+1</f>
        <v>8</v>
      </c>
      <c r="C1014" s="219" t="str">
        <f>'C'!B291</f>
        <v xml:space="preserve">    First 50 Mcf</v>
      </c>
      <c r="D1014" s="286"/>
      <c r="E1014" s="476">
        <f>'C'!D303</f>
        <v>600</v>
      </c>
      <c r="F1014" s="476">
        <f>'C'!E303</f>
        <v>600</v>
      </c>
      <c r="G1014" s="476">
        <f>'C'!F303</f>
        <v>600</v>
      </c>
      <c r="H1014" s="476">
        <f>'C'!G303</f>
        <v>600</v>
      </c>
      <c r="I1014" s="476">
        <f>'C'!H303</f>
        <v>600</v>
      </c>
      <c r="J1014" s="476">
        <f>'C'!I303</f>
        <v>600</v>
      </c>
      <c r="K1014" s="476">
        <f>'C'!J303</f>
        <v>600</v>
      </c>
      <c r="L1014" s="476">
        <f>'C'!K303</f>
        <v>600</v>
      </c>
      <c r="M1014" s="476">
        <f>'C'!L303</f>
        <v>600</v>
      </c>
      <c r="N1014" s="476">
        <f>'C'!M303</f>
        <v>600</v>
      </c>
      <c r="O1014" s="476">
        <f>'C'!N303</f>
        <v>550</v>
      </c>
      <c r="P1014" s="476">
        <f>'C'!O303</f>
        <v>600</v>
      </c>
      <c r="Q1014" s="477">
        <f>SUM(E1014:P1014)</f>
        <v>7150</v>
      </c>
    </row>
    <row r="1015" spans="1:17" x14ac:dyDescent="0.2">
      <c r="A1015" s="222">
        <f>A1014+1</f>
        <v>9</v>
      </c>
      <c r="C1015" s="219" t="str">
        <f>'C'!B292</f>
        <v xml:space="preserve">    Next 350 Mcf</v>
      </c>
      <c r="D1015" s="512"/>
      <c r="E1015" s="476">
        <f>'C'!D304</f>
        <v>4200</v>
      </c>
      <c r="F1015" s="476">
        <f>'C'!E304</f>
        <v>4200</v>
      </c>
      <c r="G1015" s="476">
        <f>'C'!F304</f>
        <v>4200</v>
      </c>
      <c r="H1015" s="476">
        <f>'C'!G304</f>
        <v>4182.5</v>
      </c>
      <c r="I1015" s="476">
        <f>'C'!H304</f>
        <v>4127</v>
      </c>
      <c r="J1015" s="476">
        <f>'C'!I304</f>
        <v>4044.2</v>
      </c>
      <c r="K1015" s="476">
        <f>'C'!J304</f>
        <v>3998.9</v>
      </c>
      <c r="L1015" s="476">
        <f>'C'!K304</f>
        <v>3891.4</v>
      </c>
      <c r="M1015" s="476">
        <f>'C'!L304</f>
        <v>4069.2</v>
      </c>
      <c r="N1015" s="476">
        <f>'C'!M304</f>
        <v>4045</v>
      </c>
      <c r="O1015" s="476">
        <f>'C'!N304</f>
        <v>3850</v>
      </c>
      <c r="P1015" s="476">
        <f>'C'!O304</f>
        <v>4200</v>
      </c>
      <c r="Q1015" s="477">
        <f>SUM(E1015:P1015)</f>
        <v>49008.2</v>
      </c>
    </row>
    <row r="1016" spans="1:17" x14ac:dyDescent="0.2">
      <c r="A1016" s="222">
        <f>A1015+1</f>
        <v>10</v>
      </c>
      <c r="C1016" s="219" t="str">
        <f>'C'!B293</f>
        <v xml:space="preserve">    Next 600 Mcf</v>
      </c>
      <c r="D1016" s="512"/>
      <c r="E1016" s="476">
        <f>'C'!D305</f>
        <v>7070</v>
      </c>
      <c r="F1016" s="476">
        <f>'C'!E305</f>
        <v>6882.7</v>
      </c>
      <c r="G1016" s="476">
        <f>'C'!F305</f>
        <v>6964.3</v>
      </c>
      <c r="H1016" s="476">
        <f>'C'!G305</f>
        <v>6167.1</v>
      </c>
      <c r="I1016" s="476">
        <f>'C'!H305</f>
        <v>6270.1</v>
      </c>
      <c r="J1016" s="476">
        <f>'C'!I305</f>
        <v>4699.5</v>
      </c>
      <c r="K1016" s="476">
        <f>'C'!J305</f>
        <v>5144.3</v>
      </c>
      <c r="L1016" s="476">
        <f>'C'!K305</f>
        <v>4257.5</v>
      </c>
      <c r="M1016" s="476">
        <f>'C'!L305</f>
        <v>4801.3</v>
      </c>
      <c r="N1016" s="476">
        <f>'C'!M305</f>
        <v>6031.9</v>
      </c>
      <c r="O1016" s="476">
        <f>'C'!N305</f>
        <v>6494.6</v>
      </c>
      <c r="P1016" s="476">
        <f>'C'!O305</f>
        <v>6960.4</v>
      </c>
      <c r="Q1016" s="477">
        <f>SUM(E1016:P1016)</f>
        <v>71743.7</v>
      </c>
    </row>
    <row r="1017" spans="1:17" x14ac:dyDescent="0.2">
      <c r="A1017" s="222">
        <f>A1016+1</f>
        <v>11</v>
      </c>
      <c r="C1017" s="219" t="str">
        <f>'C'!B294</f>
        <v xml:space="preserve">    Over 1,000 Mcf</v>
      </c>
      <c r="D1017" s="512"/>
      <c r="E1017" s="515">
        <f>'C'!D306</f>
        <v>13932.9</v>
      </c>
      <c r="F1017" s="515">
        <f>'C'!E306</f>
        <v>13803.3</v>
      </c>
      <c r="G1017" s="515">
        <f>'C'!F306</f>
        <v>10302.299999999999</v>
      </c>
      <c r="H1017" s="515">
        <f>'C'!G306</f>
        <v>5333.3</v>
      </c>
      <c r="I1017" s="515">
        <f>'C'!H306</f>
        <v>4075.8</v>
      </c>
      <c r="J1017" s="515">
        <f>'C'!I306</f>
        <v>1525.9</v>
      </c>
      <c r="K1017" s="515">
        <f>'C'!J306</f>
        <v>2402.3000000000002</v>
      </c>
      <c r="L1017" s="515">
        <f>'C'!K306</f>
        <v>1889</v>
      </c>
      <c r="M1017" s="515">
        <f>'C'!L306</f>
        <v>1772.2</v>
      </c>
      <c r="N1017" s="515">
        <f>'C'!M306</f>
        <v>3743.8</v>
      </c>
      <c r="O1017" s="515">
        <f>'C'!N306</f>
        <v>7560.9</v>
      </c>
      <c r="P1017" s="515">
        <f>'C'!O306</f>
        <v>9386.9</v>
      </c>
      <c r="Q1017" s="515">
        <f>SUM(E1017:P1017)</f>
        <v>75728.600000000006</v>
      </c>
    </row>
    <row r="1018" spans="1:17" x14ac:dyDescent="0.2">
      <c r="D1018" s="782"/>
      <c r="E1018" s="476">
        <f t="shared" ref="E1018:O1018" si="310">SUM(E1014:E1017)</f>
        <v>25802.9</v>
      </c>
      <c r="F1018" s="476">
        <f t="shared" si="310"/>
        <v>25486</v>
      </c>
      <c r="G1018" s="476">
        <f t="shared" si="310"/>
        <v>22066.6</v>
      </c>
      <c r="H1018" s="476">
        <f t="shared" si="310"/>
        <v>16282.900000000001</v>
      </c>
      <c r="I1018" s="476">
        <f t="shared" si="310"/>
        <v>15072.900000000001</v>
      </c>
      <c r="J1018" s="476">
        <f t="shared" si="310"/>
        <v>10869.6</v>
      </c>
      <c r="K1018" s="476">
        <f t="shared" si="310"/>
        <v>12145.5</v>
      </c>
      <c r="L1018" s="476">
        <f t="shared" si="310"/>
        <v>10637.9</v>
      </c>
      <c r="M1018" s="476">
        <f t="shared" si="310"/>
        <v>11242.7</v>
      </c>
      <c r="N1018" s="476">
        <f t="shared" si="310"/>
        <v>14420.7</v>
      </c>
      <c r="O1018" s="476">
        <f t="shared" si="310"/>
        <v>18455.5</v>
      </c>
      <c r="P1018" s="476">
        <f>SUM(P1014:P1017)</f>
        <v>21147.3</v>
      </c>
      <c r="Q1018" s="476">
        <f>SUM(E1018:P1018)</f>
        <v>203630.5</v>
      </c>
    </row>
    <row r="1019" spans="1:17" x14ac:dyDescent="0.2">
      <c r="A1019" s="222">
        <f>A1017+1</f>
        <v>12</v>
      </c>
      <c r="C1019" s="219" t="s">
        <v>207</v>
      </c>
      <c r="D1019" s="512"/>
      <c r="E1019" s="222"/>
      <c r="F1019" s="288"/>
      <c r="G1019" s="469"/>
      <c r="H1019" s="288"/>
      <c r="I1019" s="293"/>
      <c r="J1019" s="288"/>
      <c r="K1019" s="288"/>
      <c r="Q1019" s="517"/>
    </row>
    <row r="1020" spans="1:17" x14ac:dyDescent="0.2">
      <c r="A1020" s="222">
        <f>A1019+1</f>
        <v>13</v>
      </c>
      <c r="C1020" s="219" t="str">
        <f>C1014</f>
        <v xml:space="preserve">    First 50 Mcf</v>
      </c>
      <c r="D1020" s="782">
        <f>Input!C46</f>
        <v>2.2665999999999999</v>
      </c>
      <c r="E1020" s="427">
        <f t="shared" ref="E1020:P1020" si="311">ROUND(E1014*$D$1020,2)</f>
        <v>1359.96</v>
      </c>
      <c r="F1020" s="427">
        <f t="shared" si="311"/>
        <v>1359.96</v>
      </c>
      <c r="G1020" s="427">
        <f t="shared" si="311"/>
        <v>1359.96</v>
      </c>
      <c r="H1020" s="427">
        <f t="shared" si="311"/>
        <v>1359.96</v>
      </c>
      <c r="I1020" s="427">
        <f t="shared" si="311"/>
        <v>1359.96</v>
      </c>
      <c r="J1020" s="427">
        <f t="shared" si="311"/>
        <v>1359.96</v>
      </c>
      <c r="K1020" s="427">
        <f t="shared" si="311"/>
        <v>1359.96</v>
      </c>
      <c r="L1020" s="427">
        <f t="shared" si="311"/>
        <v>1359.96</v>
      </c>
      <c r="M1020" s="427">
        <f t="shared" si="311"/>
        <v>1359.96</v>
      </c>
      <c r="N1020" s="427">
        <f t="shared" si="311"/>
        <v>1359.96</v>
      </c>
      <c r="O1020" s="427">
        <f t="shared" si="311"/>
        <v>1246.6300000000001</v>
      </c>
      <c r="P1020" s="427">
        <f t="shared" si="311"/>
        <v>1359.96</v>
      </c>
      <c r="Q1020" s="427">
        <f>SUM(E1020:P1020)</f>
        <v>16206.189999999999</v>
      </c>
    </row>
    <row r="1021" spans="1:17" x14ac:dyDescent="0.2">
      <c r="A1021" s="222">
        <f>A1020+1</f>
        <v>14</v>
      </c>
      <c r="C1021" s="219" t="str">
        <f>C1015</f>
        <v xml:space="preserve">    Next 350 Mcf</v>
      </c>
      <c r="D1021" s="782">
        <f>Input!D46</f>
        <v>1.752</v>
      </c>
      <c r="E1021" s="472">
        <f t="shared" ref="E1021:P1021" si="312">ROUND(E1015*$D$1021,2)</f>
        <v>7358.4</v>
      </c>
      <c r="F1021" s="472">
        <f t="shared" si="312"/>
        <v>7358.4</v>
      </c>
      <c r="G1021" s="472">
        <f t="shared" si="312"/>
        <v>7358.4</v>
      </c>
      <c r="H1021" s="472">
        <f t="shared" si="312"/>
        <v>7327.74</v>
      </c>
      <c r="I1021" s="472">
        <f t="shared" si="312"/>
        <v>7230.5</v>
      </c>
      <c r="J1021" s="472">
        <f t="shared" si="312"/>
        <v>7085.44</v>
      </c>
      <c r="K1021" s="472">
        <f t="shared" si="312"/>
        <v>7006.07</v>
      </c>
      <c r="L1021" s="472">
        <f t="shared" si="312"/>
        <v>6817.73</v>
      </c>
      <c r="M1021" s="472">
        <f t="shared" si="312"/>
        <v>7129.24</v>
      </c>
      <c r="N1021" s="472">
        <f t="shared" si="312"/>
        <v>7086.84</v>
      </c>
      <c r="O1021" s="472">
        <f t="shared" si="312"/>
        <v>6745.2</v>
      </c>
      <c r="P1021" s="472">
        <f t="shared" si="312"/>
        <v>7358.4</v>
      </c>
      <c r="Q1021" s="473">
        <f>SUM(E1021:P1021)</f>
        <v>85862.359999999986</v>
      </c>
    </row>
    <row r="1022" spans="1:17" x14ac:dyDescent="0.2">
      <c r="A1022" s="222">
        <f>A1021+1</f>
        <v>15</v>
      </c>
      <c r="C1022" s="219" t="str">
        <f>C1016</f>
        <v xml:space="preserve">    Next 600 Mcf</v>
      </c>
      <c r="D1022" s="782">
        <f>Input!E46</f>
        <v>1.6658999999999999</v>
      </c>
      <c r="E1022" s="472">
        <f t="shared" ref="E1022:P1022" si="313">ROUND(E1016*$D$1022,2)</f>
        <v>11777.91</v>
      </c>
      <c r="F1022" s="472">
        <f t="shared" si="313"/>
        <v>11465.89</v>
      </c>
      <c r="G1022" s="472">
        <f t="shared" si="313"/>
        <v>11601.83</v>
      </c>
      <c r="H1022" s="472">
        <f t="shared" si="313"/>
        <v>10273.77</v>
      </c>
      <c r="I1022" s="472">
        <f t="shared" si="313"/>
        <v>10445.36</v>
      </c>
      <c r="J1022" s="472">
        <f t="shared" si="313"/>
        <v>7828.9</v>
      </c>
      <c r="K1022" s="472">
        <f t="shared" si="313"/>
        <v>8569.89</v>
      </c>
      <c r="L1022" s="472">
        <f t="shared" si="313"/>
        <v>7092.57</v>
      </c>
      <c r="M1022" s="472">
        <f t="shared" si="313"/>
        <v>7998.49</v>
      </c>
      <c r="N1022" s="472">
        <f t="shared" si="313"/>
        <v>10048.540000000001</v>
      </c>
      <c r="O1022" s="472">
        <f t="shared" si="313"/>
        <v>10819.35</v>
      </c>
      <c r="P1022" s="472">
        <f t="shared" si="313"/>
        <v>11595.33</v>
      </c>
      <c r="Q1022" s="473">
        <f>SUM(E1022:P1022)</f>
        <v>119517.83</v>
      </c>
    </row>
    <row r="1023" spans="1:17" ht="12" x14ac:dyDescent="0.35">
      <c r="A1023" s="222">
        <f>A1022+1</f>
        <v>16</v>
      </c>
      <c r="C1023" s="219" t="str">
        <f>C1017</f>
        <v xml:space="preserve">    Over 1,000 Mcf</v>
      </c>
      <c r="D1023" s="782">
        <f>Input!F46</f>
        <v>1.5164</v>
      </c>
      <c r="E1023" s="521">
        <f t="shared" ref="E1023:P1023" si="314">ROUND(E1017*$D$1023,2)</f>
        <v>21127.85</v>
      </c>
      <c r="F1023" s="521">
        <f t="shared" si="314"/>
        <v>20931.32</v>
      </c>
      <c r="G1023" s="521">
        <f t="shared" si="314"/>
        <v>15622.41</v>
      </c>
      <c r="H1023" s="521">
        <f t="shared" si="314"/>
        <v>8087.42</v>
      </c>
      <c r="I1023" s="521">
        <f t="shared" si="314"/>
        <v>6180.54</v>
      </c>
      <c r="J1023" s="521">
        <f t="shared" si="314"/>
        <v>2313.87</v>
      </c>
      <c r="K1023" s="521">
        <f t="shared" si="314"/>
        <v>3642.85</v>
      </c>
      <c r="L1023" s="521">
        <f t="shared" si="314"/>
        <v>2864.48</v>
      </c>
      <c r="M1023" s="521">
        <f t="shared" si="314"/>
        <v>2687.36</v>
      </c>
      <c r="N1023" s="521">
        <f t="shared" si="314"/>
        <v>5677.1</v>
      </c>
      <c r="O1023" s="521">
        <f t="shared" si="314"/>
        <v>11465.35</v>
      </c>
      <c r="P1023" s="521">
        <f t="shared" si="314"/>
        <v>14234.3</v>
      </c>
      <c r="Q1023" s="534">
        <f>SUM(E1023:P1023)</f>
        <v>114834.85</v>
      </c>
    </row>
    <row r="1024" spans="1:17" x14ac:dyDescent="0.2">
      <c r="D1024" s="512"/>
      <c r="E1024" s="427">
        <f t="shared" ref="E1024:O1024" si="315">SUM(E1020:E1023)</f>
        <v>41624.119999999995</v>
      </c>
      <c r="F1024" s="427">
        <f t="shared" si="315"/>
        <v>41115.57</v>
      </c>
      <c r="G1024" s="427">
        <f t="shared" si="315"/>
        <v>35942.600000000006</v>
      </c>
      <c r="H1024" s="427">
        <f t="shared" si="315"/>
        <v>27048.89</v>
      </c>
      <c r="I1024" s="427">
        <f t="shared" si="315"/>
        <v>25216.36</v>
      </c>
      <c r="J1024" s="427">
        <f t="shared" si="315"/>
        <v>18588.169999999998</v>
      </c>
      <c r="K1024" s="427">
        <f t="shared" si="315"/>
        <v>20578.769999999997</v>
      </c>
      <c r="L1024" s="427">
        <f t="shared" si="315"/>
        <v>18134.739999999998</v>
      </c>
      <c r="M1024" s="427">
        <f t="shared" si="315"/>
        <v>19175.050000000003</v>
      </c>
      <c r="N1024" s="427">
        <f t="shared" si="315"/>
        <v>24172.440000000002</v>
      </c>
      <c r="O1024" s="427">
        <f t="shared" si="315"/>
        <v>30276.53</v>
      </c>
      <c r="P1024" s="427">
        <f>SUM(P1020:P1023)</f>
        <v>34547.990000000005</v>
      </c>
      <c r="Q1024" s="427">
        <f>SUM(E1024:P1024)</f>
        <v>336421.23</v>
      </c>
    </row>
    <row r="1025" spans="1:17" x14ac:dyDescent="0.2">
      <c r="D1025" s="512"/>
      <c r="E1025" s="466"/>
      <c r="F1025" s="466"/>
      <c r="G1025" s="466"/>
      <c r="H1025" s="466"/>
      <c r="I1025" s="466"/>
      <c r="J1025" s="466"/>
      <c r="K1025" s="466"/>
      <c r="L1025" s="466"/>
      <c r="M1025" s="466"/>
      <c r="N1025" s="466"/>
      <c r="O1025" s="466"/>
      <c r="P1025" s="466"/>
      <c r="Q1025" s="466"/>
    </row>
    <row r="1026" spans="1:17" x14ac:dyDescent="0.2">
      <c r="A1026" s="222">
        <f>A1023+1</f>
        <v>17</v>
      </c>
      <c r="C1026" s="219" t="s">
        <v>204</v>
      </c>
      <c r="D1026" s="512"/>
      <c r="E1026" s="427">
        <f t="shared" ref="E1026:O1026" si="316">E1009+E1010+E1011+E1024</f>
        <v>42841.159999999996</v>
      </c>
      <c r="F1026" s="427">
        <f t="shared" si="316"/>
        <v>42332.61</v>
      </c>
      <c r="G1026" s="427">
        <f t="shared" si="316"/>
        <v>37159.640000000007</v>
      </c>
      <c r="H1026" s="427">
        <f t="shared" si="316"/>
        <v>28265.93</v>
      </c>
      <c r="I1026" s="427">
        <f t="shared" si="316"/>
        <v>26433.4</v>
      </c>
      <c r="J1026" s="427">
        <f t="shared" si="316"/>
        <v>19805.21</v>
      </c>
      <c r="K1026" s="427">
        <f t="shared" si="316"/>
        <v>21795.809999999998</v>
      </c>
      <c r="L1026" s="427">
        <f t="shared" si="316"/>
        <v>19351.78</v>
      </c>
      <c r="M1026" s="427">
        <f t="shared" si="316"/>
        <v>20392.090000000004</v>
      </c>
      <c r="N1026" s="427">
        <f t="shared" si="316"/>
        <v>25389.480000000003</v>
      </c>
      <c r="O1026" s="427">
        <f t="shared" si="316"/>
        <v>31594.989999999998</v>
      </c>
      <c r="P1026" s="427">
        <f>P1009+P1010+P1011+P1024</f>
        <v>35765.030000000006</v>
      </c>
      <c r="Q1026" s="427">
        <f>SUM(E1026:P1026)</f>
        <v>351127.13</v>
      </c>
    </row>
    <row r="1027" spans="1:17" x14ac:dyDescent="0.2">
      <c r="D1027" s="512"/>
      <c r="E1027" s="466"/>
      <c r="F1027" s="466"/>
      <c r="G1027" s="466"/>
      <c r="H1027" s="466"/>
      <c r="I1027" s="466"/>
      <c r="J1027" s="466"/>
      <c r="K1027" s="466"/>
      <c r="L1027" s="466"/>
      <c r="M1027" s="466"/>
      <c r="N1027" s="466"/>
      <c r="O1027" s="466"/>
      <c r="P1027" s="466"/>
      <c r="Q1027" s="466"/>
    </row>
    <row r="1028" spans="1:17" x14ac:dyDescent="0.2">
      <c r="A1028" s="222">
        <f>A1026+1</f>
        <v>18</v>
      </c>
      <c r="C1028" s="222" t="s">
        <v>151</v>
      </c>
      <c r="D1028" s="783">
        <v>0</v>
      </c>
      <c r="E1028" s="510">
        <v>0</v>
      </c>
      <c r="F1028" s="510">
        <v>0</v>
      </c>
      <c r="G1028" s="510">
        <v>0</v>
      </c>
      <c r="H1028" s="510">
        <v>0</v>
      </c>
      <c r="I1028" s="510">
        <v>0</v>
      </c>
      <c r="J1028" s="510">
        <v>0</v>
      </c>
      <c r="K1028" s="510">
        <v>0</v>
      </c>
      <c r="L1028" s="510">
        <v>0</v>
      </c>
      <c r="M1028" s="510">
        <v>0</v>
      </c>
      <c r="N1028" s="510">
        <v>0</v>
      </c>
      <c r="O1028" s="510">
        <v>0</v>
      </c>
      <c r="P1028" s="510">
        <v>0</v>
      </c>
      <c r="Q1028" s="427">
        <f>SUM(E1028:P1028)</f>
        <v>0</v>
      </c>
    </row>
    <row r="1029" spans="1:17" x14ac:dyDescent="0.2">
      <c r="E1029" s="466"/>
      <c r="F1029" s="466"/>
      <c r="G1029" s="466"/>
      <c r="H1029" s="466"/>
      <c r="I1029" s="466"/>
      <c r="J1029" s="466"/>
      <c r="K1029" s="466"/>
      <c r="L1029" s="466"/>
      <c r="M1029" s="466"/>
      <c r="N1029" s="459"/>
      <c r="O1029" s="459"/>
      <c r="P1029" s="459"/>
      <c r="Q1029" s="459"/>
    </row>
    <row r="1030" spans="1:17" ht="10.8" thickBot="1" x14ac:dyDescent="0.25">
      <c r="A1030" s="488">
        <f>A1028+1</f>
        <v>19</v>
      </c>
      <c r="B1030" s="489"/>
      <c r="C1030" s="489" t="s">
        <v>205</v>
      </c>
      <c r="D1030" s="490"/>
      <c r="E1030" s="492">
        <f t="shared" ref="E1030:O1030" si="317">E1026+E1028</f>
        <v>42841.159999999996</v>
      </c>
      <c r="F1030" s="492">
        <f t="shared" si="317"/>
        <v>42332.61</v>
      </c>
      <c r="G1030" s="492">
        <f t="shared" si="317"/>
        <v>37159.640000000007</v>
      </c>
      <c r="H1030" s="492">
        <f t="shared" si="317"/>
        <v>28265.93</v>
      </c>
      <c r="I1030" s="492">
        <f t="shared" si="317"/>
        <v>26433.4</v>
      </c>
      <c r="J1030" s="492">
        <f t="shared" si="317"/>
        <v>19805.21</v>
      </c>
      <c r="K1030" s="492">
        <f t="shared" si="317"/>
        <v>21795.809999999998</v>
      </c>
      <c r="L1030" s="492">
        <f t="shared" si="317"/>
        <v>19351.78</v>
      </c>
      <c r="M1030" s="492">
        <f t="shared" si="317"/>
        <v>20392.090000000004</v>
      </c>
      <c r="N1030" s="492">
        <f t="shared" si="317"/>
        <v>25389.480000000003</v>
      </c>
      <c r="O1030" s="492">
        <f t="shared" si="317"/>
        <v>31594.989999999998</v>
      </c>
      <c r="P1030" s="492">
        <f>P1026+P1028</f>
        <v>35765.030000000006</v>
      </c>
      <c r="Q1030" s="492">
        <f>SUM(E1030:P1030)</f>
        <v>351127.13</v>
      </c>
    </row>
    <row r="1031" spans="1:17" ht="10.8" thickTop="1" x14ac:dyDescent="0.2">
      <c r="E1031" s="222"/>
      <c r="F1031" s="288"/>
      <c r="G1031" s="469"/>
      <c r="H1031" s="288"/>
      <c r="I1031" s="293"/>
      <c r="J1031" s="288"/>
      <c r="K1031" s="288"/>
      <c r="L1031" s="288"/>
      <c r="M1031" s="288"/>
      <c r="N1031" s="288"/>
      <c r="Q1031" s="412"/>
    </row>
    <row r="1032" spans="1:17" x14ac:dyDescent="0.2">
      <c r="A1032" s="222">
        <f>A1030+1</f>
        <v>20</v>
      </c>
      <c r="B1032" s="219" t="str">
        <f>B289</f>
        <v>GDS</v>
      </c>
      <c r="C1032" s="219" t="str">
        <f>C289</f>
        <v>GTS Grandfathered Delivery Service - Industrial</v>
      </c>
    </row>
    <row r="1034" spans="1:17" x14ac:dyDescent="0.2">
      <c r="A1034" s="222">
        <f>A1032+1</f>
        <v>21</v>
      </c>
      <c r="C1034" s="223" t="s">
        <v>112</v>
      </c>
    </row>
    <row r="1035" spans="1:17" x14ac:dyDescent="0.2">
      <c r="C1035" s="223"/>
      <c r="F1035" s="288"/>
      <c r="G1035" s="469"/>
      <c r="H1035" s="288"/>
      <c r="I1035" s="293"/>
      <c r="J1035" s="288"/>
      <c r="K1035" s="288"/>
      <c r="L1035" s="288"/>
    </row>
    <row r="1036" spans="1:17" x14ac:dyDescent="0.2">
      <c r="A1036" s="222">
        <f>A1034+1</f>
        <v>22</v>
      </c>
      <c r="C1036" s="219" t="s">
        <v>202</v>
      </c>
      <c r="E1036" s="472">
        <f>B!D200</f>
        <v>15</v>
      </c>
      <c r="F1036" s="472">
        <f>B!E200</f>
        <v>15</v>
      </c>
      <c r="G1036" s="472">
        <f>B!F200</f>
        <v>15</v>
      </c>
      <c r="H1036" s="472">
        <f>B!G200</f>
        <v>15</v>
      </c>
      <c r="I1036" s="472">
        <f>B!H200</f>
        <v>15</v>
      </c>
      <c r="J1036" s="472">
        <f>B!I200</f>
        <v>15</v>
      </c>
      <c r="K1036" s="472">
        <f>B!J200</f>
        <v>15</v>
      </c>
      <c r="L1036" s="472">
        <f>B!K200</f>
        <v>15</v>
      </c>
      <c r="M1036" s="472">
        <f>B!L200</f>
        <v>15</v>
      </c>
      <c r="N1036" s="472">
        <f>B!M200</f>
        <v>15</v>
      </c>
      <c r="O1036" s="472">
        <f>B!N200</f>
        <v>15</v>
      </c>
      <c r="P1036" s="472">
        <f>B!O200</f>
        <v>15</v>
      </c>
      <c r="Q1036" s="473">
        <f>SUM(E1036:P1036)</f>
        <v>180</v>
      </c>
    </row>
    <row r="1037" spans="1:17" x14ac:dyDescent="0.2">
      <c r="A1037" s="222">
        <f>A1036+1</f>
        <v>23</v>
      </c>
      <c r="C1037" s="219" t="s">
        <v>210</v>
      </c>
      <c r="D1037" s="781">
        <f>Input!H47</f>
        <v>37.5</v>
      </c>
      <c r="E1037" s="427">
        <f t="shared" ref="E1037:P1037" si="318">ROUND(E1036*$D$1037,2)</f>
        <v>562.5</v>
      </c>
      <c r="F1037" s="427">
        <f t="shared" si="318"/>
        <v>562.5</v>
      </c>
      <c r="G1037" s="427">
        <f t="shared" si="318"/>
        <v>562.5</v>
      </c>
      <c r="H1037" s="427">
        <f t="shared" si="318"/>
        <v>562.5</v>
      </c>
      <c r="I1037" s="427">
        <f t="shared" si="318"/>
        <v>562.5</v>
      </c>
      <c r="J1037" s="427">
        <f t="shared" si="318"/>
        <v>562.5</v>
      </c>
      <c r="K1037" s="427">
        <f t="shared" si="318"/>
        <v>562.5</v>
      </c>
      <c r="L1037" s="427">
        <f t="shared" si="318"/>
        <v>562.5</v>
      </c>
      <c r="M1037" s="427">
        <f t="shared" si="318"/>
        <v>562.5</v>
      </c>
      <c r="N1037" s="427">
        <f t="shared" si="318"/>
        <v>562.5</v>
      </c>
      <c r="O1037" s="427">
        <f t="shared" si="318"/>
        <v>562.5</v>
      </c>
      <c r="P1037" s="427">
        <f t="shared" si="318"/>
        <v>562.5</v>
      </c>
      <c r="Q1037" s="427">
        <f>SUM(E1037:P1037)</f>
        <v>6750</v>
      </c>
    </row>
    <row r="1038" spans="1:17" x14ac:dyDescent="0.2">
      <c r="A1038" s="222">
        <f>A1037+1</f>
        <v>24</v>
      </c>
      <c r="C1038" s="219" t="s">
        <v>217</v>
      </c>
      <c r="D1038" s="781">
        <f>Input!I47</f>
        <v>55.9</v>
      </c>
      <c r="E1038" s="427">
        <f t="shared" ref="E1038:P1038" si="319">ROUND(E1036*$D$1038,2)</f>
        <v>838.5</v>
      </c>
      <c r="F1038" s="427">
        <f t="shared" si="319"/>
        <v>838.5</v>
      </c>
      <c r="G1038" s="427">
        <f t="shared" si="319"/>
        <v>838.5</v>
      </c>
      <c r="H1038" s="427">
        <f t="shared" si="319"/>
        <v>838.5</v>
      </c>
      <c r="I1038" s="427">
        <f t="shared" si="319"/>
        <v>838.5</v>
      </c>
      <c r="J1038" s="427">
        <f t="shared" si="319"/>
        <v>838.5</v>
      </c>
      <c r="K1038" s="427">
        <f t="shared" si="319"/>
        <v>838.5</v>
      </c>
      <c r="L1038" s="427">
        <f t="shared" si="319"/>
        <v>838.5</v>
      </c>
      <c r="M1038" s="427">
        <f t="shared" si="319"/>
        <v>838.5</v>
      </c>
      <c r="N1038" s="427">
        <f t="shared" si="319"/>
        <v>838.5</v>
      </c>
      <c r="O1038" s="427">
        <f t="shared" si="319"/>
        <v>838.5</v>
      </c>
      <c r="P1038" s="427">
        <f t="shared" si="319"/>
        <v>838.5</v>
      </c>
      <c r="Q1038" s="427">
        <f>SUM(E1038:P1038)</f>
        <v>10062</v>
      </c>
    </row>
    <row r="1039" spans="1:17" x14ac:dyDescent="0.2">
      <c r="A1039" s="222">
        <f>A1038+1</f>
        <v>25</v>
      </c>
      <c r="C1039" s="219" t="s">
        <v>211</v>
      </c>
      <c r="D1039" s="781">
        <f>Input!J47</f>
        <v>8.02</v>
      </c>
      <c r="E1039" s="427">
        <f t="shared" ref="E1039:P1039" si="320">ROUND(E1036*$D$1039,2)</f>
        <v>120.3</v>
      </c>
      <c r="F1039" s="427">
        <f t="shared" si="320"/>
        <v>120.3</v>
      </c>
      <c r="G1039" s="427">
        <f t="shared" si="320"/>
        <v>120.3</v>
      </c>
      <c r="H1039" s="427">
        <f t="shared" si="320"/>
        <v>120.3</v>
      </c>
      <c r="I1039" s="427">
        <f t="shared" si="320"/>
        <v>120.3</v>
      </c>
      <c r="J1039" s="427">
        <f t="shared" si="320"/>
        <v>120.3</v>
      </c>
      <c r="K1039" s="427">
        <f t="shared" si="320"/>
        <v>120.3</v>
      </c>
      <c r="L1039" s="427">
        <f t="shared" si="320"/>
        <v>120.3</v>
      </c>
      <c r="M1039" s="427">
        <f t="shared" si="320"/>
        <v>120.3</v>
      </c>
      <c r="N1039" s="427">
        <f t="shared" si="320"/>
        <v>120.3</v>
      </c>
      <c r="O1039" s="427">
        <f t="shared" si="320"/>
        <v>120.3</v>
      </c>
      <c r="P1039" s="427">
        <f t="shared" si="320"/>
        <v>120.3</v>
      </c>
      <c r="Q1039" s="427">
        <f>SUM(E1039:P1039)</f>
        <v>1443.5999999999997</v>
      </c>
    </row>
    <row r="1040" spans="1:17" x14ac:dyDescent="0.2">
      <c r="D1040" s="286"/>
      <c r="E1040" s="514"/>
      <c r="F1040" s="288"/>
      <c r="G1040" s="469"/>
      <c r="H1040" s="288"/>
      <c r="I1040" s="293"/>
      <c r="J1040" s="288"/>
      <c r="K1040" s="288"/>
    </row>
    <row r="1041" spans="1:17" x14ac:dyDescent="0.2">
      <c r="A1041" s="222">
        <f>A1039+1</f>
        <v>26</v>
      </c>
      <c r="C1041" s="219" t="s">
        <v>209</v>
      </c>
      <c r="D1041" s="286"/>
      <c r="F1041" s="219"/>
      <c r="G1041" s="219"/>
      <c r="H1041" s="219"/>
      <c r="I1041" s="219"/>
      <c r="J1041" s="219"/>
      <c r="K1041" s="219"/>
      <c r="L1041" s="219"/>
      <c r="M1041" s="219"/>
      <c r="N1041" s="219"/>
      <c r="O1041" s="219"/>
      <c r="P1041" s="219"/>
    </row>
    <row r="1042" spans="1:17" x14ac:dyDescent="0.2">
      <c r="A1042" s="222">
        <f>A1041+1</f>
        <v>27</v>
      </c>
      <c r="C1042" s="219" t="str">
        <f>'C'!B311</f>
        <v xml:space="preserve">    First 50 Mcf</v>
      </c>
      <c r="D1042" s="286"/>
      <c r="E1042" s="476">
        <f>'C'!D323</f>
        <v>609.9</v>
      </c>
      <c r="F1042" s="476">
        <f>'C'!E323</f>
        <v>622.4</v>
      </c>
      <c r="G1042" s="476">
        <f>'C'!F323</f>
        <v>750</v>
      </c>
      <c r="H1042" s="476">
        <f>'C'!G323</f>
        <v>735.6</v>
      </c>
      <c r="I1042" s="476">
        <f>'C'!H323</f>
        <v>694.2</v>
      </c>
      <c r="J1042" s="476">
        <f>'C'!I323</f>
        <v>473.6</v>
      </c>
      <c r="K1042" s="476">
        <f>'C'!J323</f>
        <v>460</v>
      </c>
      <c r="L1042" s="476">
        <f>'C'!K323</f>
        <v>510.6</v>
      </c>
      <c r="M1042" s="476">
        <f>'C'!L323</f>
        <v>530.29999999999995</v>
      </c>
      <c r="N1042" s="476">
        <f>'C'!M323</f>
        <v>604.5</v>
      </c>
      <c r="O1042" s="476">
        <f>'C'!N323</f>
        <v>606.1</v>
      </c>
      <c r="P1042" s="476">
        <f>'C'!O323</f>
        <v>666.9</v>
      </c>
      <c r="Q1042" s="477">
        <f>SUM(E1042:P1042)</f>
        <v>7264.1000000000013</v>
      </c>
    </row>
    <row r="1043" spans="1:17" x14ac:dyDescent="0.2">
      <c r="A1043" s="222">
        <f>A1042+1</f>
        <v>28</v>
      </c>
      <c r="C1043" s="219" t="str">
        <f>'C'!B312</f>
        <v xml:space="preserve">    Next 350 Mcf</v>
      </c>
      <c r="D1043" s="512"/>
      <c r="E1043" s="476">
        <f>'C'!D324</f>
        <v>3896.3</v>
      </c>
      <c r="F1043" s="476">
        <f>'C'!E324</f>
        <v>3965.4</v>
      </c>
      <c r="G1043" s="476">
        <f>'C'!F324</f>
        <v>4483.7</v>
      </c>
      <c r="H1043" s="476">
        <f>'C'!G324</f>
        <v>4484.3999999999996</v>
      </c>
      <c r="I1043" s="476">
        <f>'C'!H324</f>
        <v>3857.7</v>
      </c>
      <c r="J1043" s="476">
        <f>'C'!I324</f>
        <v>2799.5</v>
      </c>
      <c r="K1043" s="476">
        <f>'C'!J324</f>
        <v>2736.4</v>
      </c>
      <c r="L1043" s="476">
        <f>'C'!K324</f>
        <v>3003.2</v>
      </c>
      <c r="M1043" s="476">
        <f>'C'!L324</f>
        <v>2907</v>
      </c>
      <c r="N1043" s="476">
        <f>'C'!M324</f>
        <v>3132.7</v>
      </c>
      <c r="O1043" s="476">
        <f>'C'!N324</f>
        <v>3912.5</v>
      </c>
      <c r="P1043" s="476">
        <f>'C'!O324</f>
        <v>4183.5</v>
      </c>
      <c r="Q1043" s="477">
        <f>SUM(E1043:P1043)</f>
        <v>43362.3</v>
      </c>
    </row>
    <row r="1044" spans="1:17" x14ac:dyDescent="0.2">
      <c r="A1044" s="222">
        <f>A1043+1</f>
        <v>29</v>
      </c>
      <c r="C1044" s="219" t="str">
        <f>'C'!B313</f>
        <v xml:space="preserve">    Next 600 Mcf</v>
      </c>
      <c r="D1044" s="512"/>
      <c r="E1044" s="476">
        <f>'C'!D325</f>
        <v>5621.7</v>
      </c>
      <c r="F1044" s="476">
        <f>'C'!E325</f>
        <v>5802.3</v>
      </c>
      <c r="G1044" s="476">
        <f>'C'!F325</f>
        <v>6622.1</v>
      </c>
      <c r="H1044" s="476">
        <f>'C'!G325</f>
        <v>5166.3999999999996</v>
      </c>
      <c r="I1044" s="476">
        <f>'C'!H325</f>
        <v>4115.7</v>
      </c>
      <c r="J1044" s="476">
        <f>'C'!I325</f>
        <v>2754.1</v>
      </c>
      <c r="K1044" s="476">
        <f>'C'!J325</f>
        <v>2958.6</v>
      </c>
      <c r="L1044" s="476">
        <f>'C'!K325</f>
        <v>3457.3</v>
      </c>
      <c r="M1044" s="476">
        <f>'C'!L325</f>
        <v>3411.2</v>
      </c>
      <c r="N1044" s="476">
        <f>'C'!M325</f>
        <v>3405.2</v>
      </c>
      <c r="O1044" s="476">
        <f>'C'!N325</f>
        <v>4279.3999999999996</v>
      </c>
      <c r="P1044" s="476">
        <f>'C'!O325</f>
        <v>5280.7</v>
      </c>
      <c r="Q1044" s="477">
        <f>SUM(E1044:P1044)</f>
        <v>52874.7</v>
      </c>
    </row>
    <row r="1045" spans="1:17" x14ac:dyDescent="0.2">
      <c r="A1045" s="222">
        <f>A1044+1</f>
        <v>30</v>
      </c>
      <c r="C1045" s="219" t="str">
        <f>'C'!B314</f>
        <v xml:space="preserve">    Over 1,000 Mcf</v>
      </c>
      <c r="D1045" s="512"/>
      <c r="E1045" s="515">
        <f>'C'!D326</f>
        <v>7716.4</v>
      </c>
      <c r="F1045" s="515">
        <f>'C'!E326</f>
        <v>6439.2</v>
      </c>
      <c r="G1045" s="515">
        <f>'C'!F326</f>
        <v>7195.5</v>
      </c>
      <c r="H1045" s="515">
        <f>'C'!G326</f>
        <v>3680.8</v>
      </c>
      <c r="I1045" s="515">
        <f>'C'!H326</f>
        <v>4450.7</v>
      </c>
      <c r="J1045" s="515">
        <f>'C'!I326</f>
        <v>2848.5</v>
      </c>
      <c r="K1045" s="515">
        <f>'C'!J326</f>
        <v>1893.4</v>
      </c>
      <c r="L1045" s="515">
        <f>'C'!K326</f>
        <v>2095.6999999999998</v>
      </c>
      <c r="M1045" s="515">
        <f>'C'!L326</f>
        <v>2937.8</v>
      </c>
      <c r="N1045" s="515">
        <f>'C'!M326</f>
        <v>2954.3</v>
      </c>
      <c r="O1045" s="515">
        <f>'C'!N326</f>
        <v>3905</v>
      </c>
      <c r="P1045" s="515">
        <f>'C'!O326</f>
        <v>4849.5</v>
      </c>
      <c r="Q1045" s="515">
        <f>SUM(E1045:P1045)</f>
        <v>50966.8</v>
      </c>
    </row>
    <row r="1046" spans="1:17" x14ac:dyDescent="0.2">
      <c r="D1046" s="782"/>
      <c r="E1046" s="476">
        <f t="shared" ref="E1046:O1046" si="321">SUM(E1042:E1045)</f>
        <v>17844.3</v>
      </c>
      <c r="F1046" s="476">
        <f t="shared" si="321"/>
        <v>16829.3</v>
      </c>
      <c r="G1046" s="476">
        <f t="shared" si="321"/>
        <v>19051.3</v>
      </c>
      <c r="H1046" s="476">
        <f t="shared" si="321"/>
        <v>14067.2</v>
      </c>
      <c r="I1046" s="476">
        <f t="shared" si="321"/>
        <v>13118.3</v>
      </c>
      <c r="J1046" s="476">
        <f t="shared" si="321"/>
        <v>8875.7000000000007</v>
      </c>
      <c r="K1046" s="476">
        <f t="shared" si="321"/>
        <v>8048.4</v>
      </c>
      <c r="L1046" s="476">
        <f t="shared" si="321"/>
        <v>9066.7999999999993</v>
      </c>
      <c r="M1046" s="476">
        <f t="shared" si="321"/>
        <v>9786.2999999999993</v>
      </c>
      <c r="N1046" s="476">
        <f t="shared" si="321"/>
        <v>10096.700000000001</v>
      </c>
      <c r="O1046" s="476">
        <f t="shared" si="321"/>
        <v>12703</v>
      </c>
      <c r="P1046" s="476">
        <f>SUM(P1042:P1045)</f>
        <v>14980.599999999999</v>
      </c>
      <c r="Q1046" s="476">
        <f>SUM(E1046:P1046)</f>
        <v>154467.9</v>
      </c>
    </row>
    <row r="1047" spans="1:17" x14ac:dyDescent="0.2">
      <c r="A1047" s="222">
        <f>A1045+1</f>
        <v>31</v>
      </c>
      <c r="C1047" s="219" t="s">
        <v>207</v>
      </c>
      <c r="D1047" s="512"/>
      <c r="E1047" s="222"/>
      <c r="F1047" s="288"/>
      <c r="G1047" s="469"/>
      <c r="H1047" s="288"/>
      <c r="I1047" s="293"/>
      <c r="J1047" s="288"/>
      <c r="K1047" s="288"/>
      <c r="Q1047" s="517"/>
    </row>
    <row r="1048" spans="1:17" x14ac:dyDescent="0.2">
      <c r="A1048" s="222">
        <f>A1047+1</f>
        <v>32</v>
      </c>
      <c r="C1048" s="219" t="str">
        <f>C1042</f>
        <v xml:space="preserve">    First 50 Mcf</v>
      </c>
      <c r="D1048" s="782">
        <f>Input!C47</f>
        <v>2.2665999999999999</v>
      </c>
      <c r="E1048" s="427">
        <f t="shared" ref="E1048:P1048" si="322">ROUND(E1042*$D$1048,2)</f>
        <v>1382.4</v>
      </c>
      <c r="F1048" s="427">
        <f t="shared" si="322"/>
        <v>1410.73</v>
      </c>
      <c r="G1048" s="427">
        <f t="shared" si="322"/>
        <v>1699.95</v>
      </c>
      <c r="H1048" s="427">
        <f t="shared" si="322"/>
        <v>1667.31</v>
      </c>
      <c r="I1048" s="427">
        <f t="shared" si="322"/>
        <v>1573.47</v>
      </c>
      <c r="J1048" s="427">
        <f t="shared" si="322"/>
        <v>1073.46</v>
      </c>
      <c r="K1048" s="427">
        <f t="shared" si="322"/>
        <v>1042.6400000000001</v>
      </c>
      <c r="L1048" s="427">
        <f t="shared" si="322"/>
        <v>1157.33</v>
      </c>
      <c r="M1048" s="427">
        <f t="shared" si="322"/>
        <v>1201.98</v>
      </c>
      <c r="N1048" s="427">
        <f t="shared" si="322"/>
        <v>1370.16</v>
      </c>
      <c r="O1048" s="427">
        <f t="shared" si="322"/>
        <v>1373.79</v>
      </c>
      <c r="P1048" s="427">
        <f t="shared" si="322"/>
        <v>1511.6</v>
      </c>
      <c r="Q1048" s="427">
        <f>SUM(E1048:P1048)</f>
        <v>16464.819999999996</v>
      </c>
    </row>
    <row r="1049" spans="1:17" x14ac:dyDescent="0.2">
      <c r="A1049" s="222">
        <f>A1048+1</f>
        <v>33</v>
      </c>
      <c r="C1049" s="219" t="str">
        <f>C1043</f>
        <v xml:space="preserve">    Next 350 Mcf</v>
      </c>
      <c r="D1049" s="782">
        <f>Input!D47</f>
        <v>1.752</v>
      </c>
      <c r="E1049" s="472">
        <f t="shared" ref="E1049:P1049" si="323">ROUND(E1043*$D$1049,2)</f>
        <v>6826.32</v>
      </c>
      <c r="F1049" s="472">
        <f t="shared" si="323"/>
        <v>6947.38</v>
      </c>
      <c r="G1049" s="472">
        <f t="shared" si="323"/>
        <v>7855.44</v>
      </c>
      <c r="H1049" s="472">
        <f t="shared" si="323"/>
        <v>7856.67</v>
      </c>
      <c r="I1049" s="472">
        <f t="shared" si="323"/>
        <v>6758.69</v>
      </c>
      <c r="J1049" s="472">
        <f t="shared" si="323"/>
        <v>4904.72</v>
      </c>
      <c r="K1049" s="472">
        <f t="shared" si="323"/>
        <v>4794.17</v>
      </c>
      <c r="L1049" s="472">
        <f t="shared" si="323"/>
        <v>5261.61</v>
      </c>
      <c r="M1049" s="472">
        <f t="shared" si="323"/>
        <v>5093.0600000000004</v>
      </c>
      <c r="N1049" s="472">
        <f t="shared" si="323"/>
        <v>5488.49</v>
      </c>
      <c r="O1049" s="472">
        <f t="shared" si="323"/>
        <v>6854.7</v>
      </c>
      <c r="P1049" s="472">
        <f t="shared" si="323"/>
        <v>7329.49</v>
      </c>
      <c r="Q1049" s="473">
        <f>SUM(E1049:P1049)</f>
        <v>75970.740000000005</v>
      </c>
    </row>
    <row r="1050" spans="1:17" x14ac:dyDescent="0.2">
      <c r="A1050" s="222">
        <f>A1049+1</f>
        <v>34</v>
      </c>
      <c r="C1050" s="219" t="str">
        <f>C1044</f>
        <v xml:space="preserve">    Next 600 Mcf</v>
      </c>
      <c r="D1050" s="782">
        <f>Input!E47</f>
        <v>1.6658999999999999</v>
      </c>
      <c r="E1050" s="472">
        <f t="shared" ref="E1050:P1050" si="324">ROUND(E1044*$D$1050,2)</f>
        <v>9365.19</v>
      </c>
      <c r="F1050" s="472">
        <f t="shared" si="324"/>
        <v>9666.0499999999993</v>
      </c>
      <c r="G1050" s="472">
        <f t="shared" si="324"/>
        <v>11031.76</v>
      </c>
      <c r="H1050" s="472">
        <f t="shared" si="324"/>
        <v>8606.7099999999991</v>
      </c>
      <c r="I1050" s="472">
        <f t="shared" si="324"/>
        <v>6856.34</v>
      </c>
      <c r="J1050" s="472">
        <f t="shared" si="324"/>
        <v>4588.0600000000004</v>
      </c>
      <c r="K1050" s="472">
        <f t="shared" si="324"/>
        <v>4928.7299999999996</v>
      </c>
      <c r="L1050" s="472">
        <f t="shared" si="324"/>
        <v>5759.52</v>
      </c>
      <c r="M1050" s="472">
        <f t="shared" si="324"/>
        <v>5682.72</v>
      </c>
      <c r="N1050" s="472">
        <f t="shared" si="324"/>
        <v>5672.72</v>
      </c>
      <c r="O1050" s="472">
        <f t="shared" si="324"/>
        <v>7129.05</v>
      </c>
      <c r="P1050" s="472">
        <f t="shared" si="324"/>
        <v>8797.1200000000008</v>
      </c>
      <c r="Q1050" s="473">
        <f>SUM(E1050:P1050)</f>
        <v>88083.97</v>
      </c>
    </row>
    <row r="1051" spans="1:17" ht="12" x14ac:dyDescent="0.35">
      <c r="A1051" s="222">
        <f>A1050+1</f>
        <v>35</v>
      </c>
      <c r="C1051" s="219" t="str">
        <f>C1045</f>
        <v xml:space="preserve">    Over 1,000 Mcf</v>
      </c>
      <c r="D1051" s="782">
        <f>Input!F47</f>
        <v>1.5164</v>
      </c>
      <c r="E1051" s="521">
        <f t="shared" ref="E1051:P1051" si="325">ROUND(E1045*$D$1051,2)</f>
        <v>11701.15</v>
      </c>
      <c r="F1051" s="521">
        <f t="shared" si="325"/>
        <v>9764.4</v>
      </c>
      <c r="G1051" s="521">
        <f t="shared" si="325"/>
        <v>10911.26</v>
      </c>
      <c r="H1051" s="521">
        <f t="shared" si="325"/>
        <v>5581.57</v>
      </c>
      <c r="I1051" s="521">
        <f t="shared" si="325"/>
        <v>6749.04</v>
      </c>
      <c r="J1051" s="521">
        <f t="shared" si="325"/>
        <v>4319.47</v>
      </c>
      <c r="K1051" s="521">
        <f t="shared" si="325"/>
        <v>2871.15</v>
      </c>
      <c r="L1051" s="521">
        <f t="shared" si="325"/>
        <v>3177.92</v>
      </c>
      <c r="M1051" s="521">
        <f t="shared" si="325"/>
        <v>4454.88</v>
      </c>
      <c r="N1051" s="521">
        <f t="shared" si="325"/>
        <v>4479.8999999999996</v>
      </c>
      <c r="O1051" s="521">
        <f t="shared" si="325"/>
        <v>5921.54</v>
      </c>
      <c r="P1051" s="521">
        <f t="shared" si="325"/>
        <v>7353.78</v>
      </c>
      <c r="Q1051" s="534">
        <f>SUM(E1051:P1051)</f>
        <v>77286.06</v>
      </c>
    </row>
    <row r="1052" spans="1:17" x14ac:dyDescent="0.2">
      <c r="D1052" s="512"/>
      <c r="E1052" s="427">
        <f t="shared" ref="E1052:O1052" si="326">SUM(E1048:E1051)</f>
        <v>29275.059999999998</v>
      </c>
      <c r="F1052" s="427">
        <f t="shared" si="326"/>
        <v>27788.559999999998</v>
      </c>
      <c r="G1052" s="427">
        <f t="shared" si="326"/>
        <v>31498.410000000003</v>
      </c>
      <c r="H1052" s="427">
        <f t="shared" si="326"/>
        <v>23712.26</v>
      </c>
      <c r="I1052" s="427">
        <f t="shared" si="326"/>
        <v>21937.54</v>
      </c>
      <c r="J1052" s="427">
        <f t="shared" si="326"/>
        <v>14885.710000000003</v>
      </c>
      <c r="K1052" s="427">
        <f t="shared" si="326"/>
        <v>13636.69</v>
      </c>
      <c r="L1052" s="427">
        <f t="shared" si="326"/>
        <v>15356.38</v>
      </c>
      <c r="M1052" s="427">
        <f t="shared" si="326"/>
        <v>16432.640000000003</v>
      </c>
      <c r="N1052" s="427">
        <f t="shared" si="326"/>
        <v>17011.269999999997</v>
      </c>
      <c r="O1052" s="427">
        <f t="shared" si="326"/>
        <v>21279.08</v>
      </c>
      <c r="P1052" s="427">
        <f>SUM(P1048:P1051)</f>
        <v>24991.989999999998</v>
      </c>
      <c r="Q1052" s="427">
        <f>SUM(E1052:P1052)</f>
        <v>257805.58999999997</v>
      </c>
    </row>
    <row r="1053" spans="1:17" x14ac:dyDescent="0.2">
      <c r="D1053" s="512"/>
      <c r="E1053" s="466"/>
      <c r="F1053" s="466"/>
      <c r="G1053" s="466"/>
      <c r="H1053" s="466"/>
      <c r="I1053" s="466"/>
      <c r="J1053" s="466"/>
      <c r="K1053" s="466"/>
      <c r="L1053" s="466"/>
      <c r="M1053" s="466"/>
      <c r="N1053" s="466"/>
      <c r="O1053" s="466"/>
      <c r="P1053" s="466"/>
      <c r="Q1053" s="466"/>
    </row>
    <row r="1054" spans="1:17" x14ac:dyDescent="0.2">
      <c r="A1054" s="222">
        <f>A1051+1</f>
        <v>36</v>
      </c>
      <c r="C1054" s="219" t="s">
        <v>204</v>
      </c>
      <c r="D1054" s="512"/>
      <c r="E1054" s="427">
        <f t="shared" ref="E1054:O1054" si="327">E1037+E1038+E1039+E1052</f>
        <v>30796.359999999997</v>
      </c>
      <c r="F1054" s="427">
        <f t="shared" si="327"/>
        <v>29309.859999999997</v>
      </c>
      <c r="G1054" s="427">
        <f t="shared" si="327"/>
        <v>33019.710000000006</v>
      </c>
      <c r="H1054" s="427">
        <f t="shared" si="327"/>
        <v>25233.559999999998</v>
      </c>
      <c r="I1054" s="427">
        <f t="shared" si="327"/>
        <v>23458.84</v>
      </c>
      <c r="J1054" s="427">
        <f t="shared" si="327"/>
        <v>16407.010000000002</v>
      </c>
      <c r="K1054" s="427">
        <f t="shared" si="327"/>
        <v>15157.99</v>
      </c>
      <c r="L1054" s="427">
        <f t="shared" si="327"/>
        <v>16877.68</v>
      </c>
      <c r="M1054" s="427">
        <f t="shared" si="327"/>
        <v>17953.940000000002</v>
      </c>
      <c r="N1054" s="427">
        <f t="shared" si="327"/>
        <v>18532.569999999996</v>
      </c>
      <c r="O1054" s="427">
        <f t="shared" si="327"/>
        <v>22800.38</v>
      </c>
      <c r="P1054" s="427">
        <f>P1037+P1038+P1039+P1052</f>
        <v>26513.289999999997</v>
      </c>
      <c r="Q1054" s="427">
        <f>SUM(E1054:P1054)</f>
        <v>276061.19</v>
      </c>
    </row>
    <row r="1055" spans="1:17" x14ac:dyDescent="0.2">
      <c r="D1055" s="512"/>
      <c r="E1055" s="459"/>
      <c r="F1055" s="484"/>
      <c r="G1055" s="484"/>
      <c r="H1055" s="484"/>
      <c r="I1055" s="484"/>
      <c r="J1055" s="533"/>
      <c r="K1055" s="484"/>
      <c r="L1055" s="484"/>
      <c r="M1055" s="484"/>
      <c r="N1055" s="484"/>
      <c r="O1055" s="484"/>
      <c r="P1055" s="484"/>
      <c r="Q1055" s="466"/>
    </row>
    <row r="1056" spans="1:17" x14ac:dyDescent="0.2">
      <c r="A1056" s="222">
        <f>A1054+1</f>
        <v>37</v>
      </c>
      <c r="C1056" s="219" t="s">
        <v>151</v>
      </c>
      <c r="D1056" s="783">
        <v>0</v>
      </c>
      <c r="E1056" s="510">
        <v>0</v>
      </c>
      <c r="F1056" s="510">
        <v>0</v>
      </c>
      <c r="G1056" s="510">
        <v>0</v>
      </c>
      <c r="H1056" s="510">
        <v>0</v>
      </c>
      <c r="I1056" s="510">
        <v>0</v>
      </c>
      <c r="J1056" s="510">
        <v>0</v>
      </c>
      <c r="K1056" s="510">
        <v>0</v>
      </c>
      <c r="L1056" s="510">
        <v>0</v>
      </c>
      <c r="M1056" s="510">
        <v>0</v>
      </c>
      <c r="N1056" s="510">
        <v>0</v>
      </c>
      <c r="O1056" s="510">
        <v>0</v>
      </c>
      <c r="P1056" s="510">
        <v>0</v>
      </c>
      <c r="Q1056" s="427">
        <f>SUM(E1056:P1056)</f>
        <v>0</v>
      </c>
    </row>
    <row r="1057" spans="1:17" x14ac:dyDescent="0.2">
      <c r="E1057" s="466"/>
      <c r="F1057" s="466"/>
      <c r="G1057" s="466"/>
      <c r="H1057" s="466"/>
      <c r="I1057" s="466"/>
      <c r="J1057" s="466"/>
      <c r="K1057" s="466"/>
      <c r="L1057" s="466"/>
      <c r="M1057" s="466"/>
      <c r="N1057" s="459"/>
      <c r="O1057" s="459"/>
      <c r="P1057" s="459"/>
      <c r="Q1057" s="459"/>
    </row>
    <row r="1058" spans="1:17" ht="10.8" thickBot="1" x14ac:dyDescent="0.25">
      <c r="A1058" s="488">
        <f>A1056+1</f>
        <v>38</v>
      </c>
      <c r="B1058" s="489"/>
      <c r="C1058" s="489" t="s">
        <v>205</v>
      </c>
      <c r="D1058" s="490"/>
      <c r="E1058" s="492">
        <f t="shared" ref="E1058:O1058" si="328">E1054+E1056</f>
        <v>30796.359999999997</v>
      </c>
      <c r="F1058" s="492">
        <f t="shared" si="328"/>
        <v>29309.859999999997</v>
      </c>
      <c r="G1058" s="492">
        <f t="shared" si="328"/>
        <v>33019.710000000006</v>
      </c>
      <c r="H1058" s="492">
        <f t="shared" si="328"/>
        <v>25233.559999999998</v>
      </c>
      <c r="I1058" s="492">
        <f t="shared" si="328"/>
        <v>23458.84</v>
      </c>
      <c r="J1058" s="492">
        <f t="shared" si="328"/>
        <v>16407.010000000002</v>
      </c>
      <c r="K1058" s="492">
        <f t="shared" si="328"/>
        <v>15157.99</v>
      </c>
      <c r="L1058" s="492">
        <f t="shared" si="328"/>
        <v>16877.68</v>
      </c>
      <c r="M1058" s="492">
        <f t="shared" si="328"/>
        <v>17953.940000000002</v>
      </c>
      <c r="N1058" s="492">
        <f t="shared" si="328"/>
        <v>18532.569999999996</v>
      </c>
      <c r="O1058" s="492">
        <f t="shared" si="328"/>
        <v>22800.38</v>
      </c>
      <c r="P1058" s="492">
        <f>P1054+P1056</f>
        <v>26513.289999999997</v>
      </c>
      <c r="Q1058" s="492">
        <f>SUM(E1058:P1058)</f>
        <v>276061.19</v>
      </c>
    </row>
    <row r="1059" spans="1:17" ht="10.8" thickTop="1" x14ac:dyDescent="0.2"/>
    <row r="1061" spans="1:17" x14ac:dyDescent="0.2">
      <c r="A1061" s="222" t="str">
        <f>$A$270</f>
        <v>[1] Reflects Normalized Volumes.</v>
      </c>
    </row>
    <row r="1063" spans="1:17" x14ac:dyDescent="0.2">
      <c r="A1063" s="993" t="str">
        <f>CONAME</f>
        <v>Columbia Gas of Kentucky, Inc.</v>
      </c>
      <c r="B1063" s="993"/>
      <c r="C1063" s="993"/>
      <c r="D1063" s="993"/>
      <c r="E1063" s="993"/>
      <c r="F1063" s="993"/>
      <c r="G1063" s="993"/>
      <c r="H1063" s="993"/>
      <c r="I1063" s="993"/>
      <c r="J1063" s="993"/>
      <c r="K1063" s="993"/>
      <c r="L1063" s="993"/>
      <c r="M1063" s="993"/>
      <c r="N1063" s="993"/>
      <c r="O1063" s="993"/>
      <c r="P1063" s="993"/>
      <c r="Q1063" s="993"/>
    </row>
    <row r="1064" spans="1:17" x14ac:dyDescent="0.2">
      <c r="A1064" s="981" t="str">
        <f>case</f>
        <v>Case No. 2016-00162</v>
      </c>
      <c r="B1064" s="981"/>
      <c r="C1064" s="981"/>
      <c r="D1064" s="981"/>
      <c r="E1064" s="981"/>
      <c r="F1064" s="981"/>
      <c r="G1064" s="981"/>
      <c r="H1064" s="981"/>
      <c r="I1064" s="981"/>
      <c r="J1064" s="981"/>
      <c r="K1064" s="981"/>
      <c r="L1064" s="981"/>
      <c r="M1064" s="981"/>
      <c r="N1064" s="981"/>
      <c r="O1064" s="981"/>
      <c r="P1064" s="981"/>
      <c r="Q1064" s="981"/>
    </row>
    <row r="1065" spans="1:17" x14ac:dyDescent="0.2">
      <c r="A1065" s="994" t="s">
        <v>494</v>
      </c>
      <c r="B1065" s="994"/>
      <c r="C1065" s="994"/>
      <c r="D1065" s="994"/>
      <c r="E1065" s="994"/>
      <c r="F1065" s="994"/>
      <c r="G1065" s="994"/>
      <c r="H1065" s="994"/>
      <c r="I1065" s="994"/>
      <c r="J1065" s="994"/>
      <c r="K1065" s="994"/>
      <c r="L1065" s="994"/>
      <c r="M1065" s="994"/>
      <c r="N1065" s="994"/>
      <c r="O1065" s="994"/>
      <c r="P1065" s="994"/>
      <c r="Q1065" s="994"/>
    </row>
    <row r="1066" spans="1:17" x14ac:dyDescent="0.2">
      <c r="A1066" s="993" t="str">
        <f>TYDESC</f>
        <v>For the 12 Months Ended December 31, 2017</v>
      </c>
      <c r="B1066" s="993"/>
      <c r="C1066" s="993"/>
      <c r="D1066" s="993"/>
      <c r="E1066" s="993"/>
      <c r="F1066" s="993"/>
      <c r="G1066" s="993"/>
      <c r="H1066" s="993"/>
      <c r="I1066" s="993"/>
      <c r="J1066" s="993"/>
      <c r="K1066" s="993"/>
      <c r="L1066" s="993"/>
      <c r="M1066" s="993"/>
      <c r="N1066" s="993"/>
      <c r="O1066" s="993"/>
      <c r="P1066" s="993"/>
      <c r="Q1066" s="993"/>
    </row>
    <row r="1067" spans="1:17" x14ac:dyDescent="0.2">
      <c r="A1067" s="991" t="s">
        <v>39</v>
      </c>
      <c r="B1067" s="991"/>
      <c r="C1067" s="991"/>
      <c r="D1067" s="991"/>
      <c r="E1067" s="991"/>
      <c r="F1067" s="991"/>
      <c r="G1067" s="991"/>
      <c r="H1067" s="991"/>
      <c r="I1067" s="991"/>
      <c r="J1067" s="991"/>
      <c r="K1067" s="991"/>
      <c r="L1067" s="991"/>
      <c r="M1067" s="991"/>
      <c r="N1067" s="991"/>
      <c r="O1067" s="991"/>
      <c r="P1067" s="991"/>
      <c r="Q1067" s="991"/>
    </row>
    <row r="1068" spans="1:17" x14ac:dyDescent="0.2">
      <c r="A1068" s="262" t="str">
        <f>$A$52</f>
        <v>Data: __ Base Period _X_ Forecasted Period</v>
      </c>
    </row>
    <row r="1069" spans="1:17" x14ac:dyDescent="0.2">
      <c r="A1069" s="262" t="str">
        <f>$A$53</f>
        <v>Type of Filing: X Original _ Update _ Revised</v>
      </c>
      <c r="Q1069" s="413" t="str">
        <f>$Q$53</f>
        <v>Schedule M-2.2</v>
      </c>
    </row>
    <row r="1070" spans="1:17" x14ac:dyDescent="0.2">
      <c r="A1070" s="262" t="str">
        <f>$A$54</f>
        <v>Work Paper Reference No(s):</v>
      </c>
      <c r="Q1070" s="413" t="s">
        <v>509</v>
      </c>
    </row>
    <row r="1071" spans="1:17" x14ac:dyDescent="0.2">
      <c r="A1071" s="414" t="str">
        <f>$A$55</f>
        <v>12 Months Forecasted</v>
      </c>
      <c r="Q1071" s="413" t="str">
        <f>Witness</f>
        <v>Witness:  M. J. Bell</v>
      </c>
    </row>
    <row r="1072" spans="1:17" x14ac:dyDescent="0.2">
      <c r="A1072" s="992" t="s">
        <v>194</v>
      </c>
      <c r="B1072" s="992"/>
      <c r="C1072" s="992"/>
      <c r="D1072" s="992"/>
      <c r="E1072" s="992"/>
      <c r="F1072" s="992"/>
      <c r="G1072" s="992"/>
      <c r="H1072" s="992"/>
      <c r="I1072" s="992"/>
      <c r="J1072" s="992"/>
      <c r="K1072" s="992"/>
      <c r="L1072" s="992"/>
      <c r="M1072" s="992"/>
      <c r="N1072" s="992"/>
      <c r="O1072" s="992"/>
      <c r="P1072" s="992"/>
      <c r="Q1072" s="992"/>
    </row>
    <row r="1073" spans="1:17" x14ac:dyDescent="0.2">
      <c r="A1073" s="433"/>
      <c r="B1073" s="301"/>
      <c r="C1073" s="301"/>
      <c r="D1073" s="300"/>
      <c r="E1073" s="301"/>
      <c r="F1073" s="415"/>
      <c r="G1073" s="435"/>
      <c r="H1073" s="415"/>
      <c r="I1073" s="436"/>
      <c r="J1073" s="415"/>
      <c r="K1073" s="415"/>
      <c r="L1073" s="415"/>
      <c r="M1073" s="415"/>
      <c r="N1073" s="415"/>
      <c r="O1073" s="415"/>
      <c r="P1073" s="415"/>
      <c r="Q1073" s="301"/>
    </row>
    <row r="1074" spans="1:17" x14ac:dyDescent="0.2">
      <c r="A1074" s="410" t="s">
        <v>1</v>
      </c>
      <c r="B1074" s="224" t="s">
        <v>0</v>
      </c>
      <c r="C1074" s="224" t="s">
        <v>41</v>
      </c>
      <c r="D1074" s="416" t="s">
        <v>47</v>
      </c>
      <c r="E1074" s="224"/>
      <c r="F1074" s="417"/>
      <c r="G1074" s="418"/>
      <c r="H1074" s="417"/>
      <c r="I1074" s="419"/>
      <c r="J1074" s="417"/>
      <c r="K1074" s="417"/>
      <c r="L1074" s="417"/>
      <c r="M1074" s="417"/>
      <c r="N1074" s="417"/>
      <c r="O1074" s="417"/>
      <c r="P1074" s="417"/>
      <c r="Q1074" s="229"/>
    </row>
    <row r="1075" spans="1:17" x14ac:dyDescent="0.2">
      <c r="A1075" s="281" t="s">
        <v>3</v>
      </c>
      <c r="B1075" s="226" t="s">
        <v>40</v>
      </c>
      <c r="C1075" s="226" t="s">
        <v>4</v>
      </c>
      <c r="D1075" s="420" t="s">
        <v>48</v>
      </c>
      <c r="E1075" s="421" t="str">
        <f>B!$D$11</f>
        <v>Jan-17</v>
      </c>
      <c r="F1075" s="421" t="str">
        <f>B!$E$11</f>
        <v>Feb-17</v>
      </c>
      <c r="G1075" s="421" t="str">
        <f>B!$F$11</f>
        <v>Mar-17</v>
      </c>
      <c r="H1075" s="421" t="str">
        <f>B!$G$11</f>
        <v>Apr-17</v>
      </c>
      <c r="I1075" s="421" t="str">
        <f>B!$H$11</f>
        <v>May-17</v>
      </c>
      <c r="J1075" s="421" t="str">
        <f>B!$I$11</f>
        <v>Jun-17</v>
      </c>
      <c r="K1075" s="421" t="str">
        <f>B!$J$11</f>
        <v>Jul-17</v>
      </c>
      <c r="L1075" s="421" t="str">
        <f>B!$K$11</f>
        <v>Aug-17</v>
      </c>
      <c r="M1075" s="421" t="str">
        <f>B!$L$11</f>
        <v>Sep-17</v>
      </c>
      <c r="N1075" s="421" t="str">
        <f>B!$M$11</f>
        <v>Oct-17</v>
      </c>
      <c r="O1075" s="421" t="str">
        <f>B!$N$11</f>
        <v>Nov-17</v>
      </c>
      <c r="P1075" s="421" t="str">
        <f>B!$O$11</f>
        <v>Dec-17</v>
      </c>
      <c r="Q1075" s="422" t="s">
        <v>9</v>
      </c>
    </row>
    <row r="1076" spans="1:17" x14ac:dyDescent="0.2">
      <c r="A1076" s="410"/>
      <c r="B1076" s="229" t="s">
        <v>42</v>
      </c>
      <c r="C1076" s="229" t="s">
        <v>43</v>
      </c>
      <c r="D1076" s="423" t="s">
        <v>45</v>
      </c>
      <c r="E1076" s="424" t="s">
        <v>46</v>
      </c>
      <c r="F1076" s="424" t="s">
        <v>49</v>
      </c>
      <c r="G1076" s="424" t="s">
        <v>50</v>
      </c>
      <c r="H1076" s="424" t="s">
        <v>51</v>
      </c>
      <c r="I1076" s="424" t="s">
        <v>52</v>
      </c>
      <c r="J1076" s="424" t="s">
        <v>53</v>
      </c>
      <c r="K1076" s="425" t="s">
        <v>54</v>
      </c>
      <c r="L1076" s="425" t="s">
        <v>55</v>
      </c>
      <c r="M1076" s="425" t="s">
        <v>56</v>
      </c>
      <c r="N1076" s="425" t="s">
        <v>57</v>
      </c>
      <c r="O1076" s="425" t="s">
        <v>58</v>
      </c>
      <c r="P1076" s="425" t="s">
        <v>59</v>
      </c>
      <c r="Q1076" s="425" t="s">
        <v>203</v>
      </c>
    </row>
    <row r="1077" spans="1:17" x14ac:dyDescent="0.2">
      <c r="E1077" s="229"/>
      <c r="F1077" s="425"/>
      <c r="G1077" s="437"/>
      <c r="H1077" s="425"/>
      <c r="I1077" s="424"/>
      <c r="J1077" s="425"/>
      <c r="K1077" s="425"/>
      <c r="L1077" s="425"/>
      <c r="M1077" s="425"/>
      <c r="N1077" s="425"/>
      <c r="O1077" s="425"/>
      <c r="P1077" s="425"/>
      <c r="Q1077" s="229"/>
    </row>
    <row r="1078" spans="1:17" x14ac:dyDescent="0.2">
      <c r="A1078" s="222">
        <v>1</v>
      </c>
      <c r="B1078" s="219" t="str">
        <f>B296</f>
        <v>DS3</v>
      </c>
      <c r="C1078" s="219" t="str">
        <f>C296</f>
        <v>GTS Main Line Service - Industrial</v>
      </c>
    </row>
    <row r="1080" spans="1:17" x14ac:dyDescent="0.2">
      <c r="A1080" s="222">
        <f>A1078+1</f>
        <v>2</v>
      </c>
      <c r="C1080" s="223" t="s">
        <v>112</v>
      </c>
      <c r="E1080" s="222"/>
      <c r="F1080" s="288"/>
      <c r="G1080" s="469"/>
      <c r="H1080" s="288"/>
      <c r="I1080" s="293"/>
      <c r="J1080" s="288"/>
      <c r="K1080" s="288"/>
    </row>
    <row r="1081" spans="1:17" x14ac:dyDescent="0.2">
      <c r="C1081" s="223"/>
      <c r="E1081" s="222"/>
      <c r="F1081" s="288"/>
      <c r="G1081" s="469"/>
      <c r="H1081" s="288"/>
      <c r="I1081" s="293"/>
      <c r="J1081" s="288"/>
      <c r="K1081" s="288"/>
    </row>
    <row r="1082" spans="1:17" x14ac:dyDescent="0.2">
      <c r="A1082" s="222">
        <f>A1080+1</f>
        <v>3</v>
      </c>
      <c r="C1082" s="219" t="s">
        <v>202</v>
      </c>
      <c r="E1082" s="472">
        <f>B!D222</f>
        <v>3</v>
      </c>
      <c r="F1082" s="472">
        <f>B!E222</f>
        <v>3</v>
      </c>
      <c r="G1082" s="472">
        <f>B!F222</f>
        <v>3</v>
      </c>
      <c r="H1082" s="472">
        <f>B!G222</f>
        <v>3</v>
      </c>
      <c r="I1082" s="472">
        <f>B!H222</f>
        <v>3</v>
      </c>
      <c r="J1082" s="472">
        <f>B!I222</f>
        <v>3</v>
      </c>
      <c r="K1082" s="472">
        <f>B!J222</f>
        <v>3</v>
      </c>
      <c r="L1082" s="472">
        <f>B!K222</f>
        <v>3</v>
      </c>
      <c r="M1082" s="472">
        <f>B!L222</f>
        <v>3</v>
      </c>
      <c r="N1082" s="472">
        <f>B!M222</f>
        <v>3</v>
      </c>
      <c r="O1082" s="472">
        <f>B!N222</f>
        <v>3</v>
      </c>
      <c r="P1082" s="472">
        <f>B!O222</f>
        <v>3</v>
      </c>
      <c r="Q1082" s="473">
        <f>SUM(E1082:P1082)</f>
        <v>36</v>
      </c>
    </row>
    <row r="1083" spans="1:17" x14ac:dyDescent="0.2">
      <c r="A1083" s="222">
        <f>A1082+1</f>
        <v>4</v>
      </c>
      <c r="C1083" s="219" t="s">
        <v>210</v>
      </c>
      <c r="D1083" s="781">
        <f>Input!H48</f>
        <v>200</v>
      </c>
      <c r="E1083" s="427">
        <f t="shared" ref="E1083:P1083" si="329">ROUND(E1082*$D$1083,2)</f>
        <v>600</v>
      </c>
      <c r="F1083" s="427">
        <f t="shared" si="329"/>
        <v>600</v>
      </c>
      <c r="G1083" s="427">
        <f t="shared" si="329"/>
        <v>600</v>
      </c>
      <c r="H1083" s="427">
        <f t="shared" si="329"/>
        <v>600</v>
      </c>
      <c r="I1083" s="427">
        <f t="shared" si="329"/>
        <v>600</v>
      </c>
      <c r="J1083" s="427">
        <f t="shared" si="329"/>
        <v>600</v>
      </c>
      <c r="K1083" s="427">
        <f t="shared" si="329"/>
        <v>600</v>
      </c>
      <c r="L1083" s="427">
        <f t="shared" si="329"/>
        <v>600</v>
      </c>
      <c r="M1083" s="427">
        <f t="shared" si="329"/>
        <v>600</v>
      </c>
      <c r="N1083" s="427">
        <f t="shared" si="329"/>
        <v>600</v>
      </c>
      <c r="O1083" s="427">
        <f t="shared" si="329"/>
        <v>600</v>
      </c>
      <c r="P1083" s="427">
        <f t="shared" si="329"/>
        <v>600</v>
      </c>
      <c r="Q1083" s="427">
        <f>SUM(E1083:P1083)</f>
        <v>7200</v>
      </c>
    </row>
    <row r="1084" spans="1:17" x14ac:dyDescent="0.2">
      <c r="A1084" s="222">
        <f>A1083+1</f>
        <v>5</v>
      </c>
      <c r="C1084" s="219" t="s">
        <v>217</v>
      </c>
      <c r="D1084" s="781">
        <f>Input!I48</f>
        <v>55.9</v>
      </c>
      <c r="E1084" s="427">
        <f t="shared" ref="E1084:P1084" si="330">ROUND(E1082*$D$1084,2)</f>
        <v>167.7</v>
      </c>
      <c r="F1084" s="427">
        <f t="shared" si="330"/>
        <v>167.7</v>
      </c>
      <c r="G1084" s="427">
        <f t="shared" si="330"/>
        <v>167.7</v>
      </c>
      <c r="H1084" s="427">
        <f t="shared" si="330"/>
        <v>167.7</v>
      </c>
      <c r="I1084" s="427">
        <f t="shared" si="330"/>
        <v>167.7</v>
      </c>
      <c r="J1084" s="427">
        <f t="shared" si="330"/>
        <v>167.7</v>
      </c>
      <c r="K1084" s="427">
        <f t="shared" si="330"/>
        <v>167.7</v>
      </c>
      <c r="L1084" s="427">
        <f t="shared" si="330"/>
        <v>167.7</v>
      </c>
      <c r="M1084" s="427">
        <f t="shared" si="330"/>
        <v>167.7</v>
      </c>
      <c r="N1084" s="427">
        <f t="shared" si="330"/>
        <v>167.7</v>
      </c>
      <c r="O1084" s="427">
        <f t="shared" si="330"/>
        <v>167.7</v>
      </c>
      <c r="P1084" s="427">
        <f t="shared" si="330"/>
        <v>167.7</v>
      </c>
      <c r="Q1084" s="427">
        <f>SUM(E1084:P1084)</f>
        <v>2012.4000000000003</v>
      </c>
    </row>
    <row r="1085" spans="1:17" x14ac:dyDescent="0.2">
      <c r="D1085" s="286"/>
      <c r="E1085" s="222"/>
      <c r="F1085" s="288"/>
      <c r="G1085" s="469"/>
      <c r="H1085" s="288"/>
      <c r="I1085" s="293"/>
      <c r="J1085" s="288"/>
      <c r="K1085" s="288"/>
    </row>
    <row r="1086" spans="1:17" x14ac:dyDescent="0.2">
      <c r="A1086" s="222">
        <f>A1084+1</f>
        <v>6</v>
      </c>
      <c r="C1086" s="219" t="s">
        <v>218</v>
      </c>
      <c r="D1086" s="286"/>
      <c r="E1086" s="293">
        <f>'C'!D332</f>
        <v>58289</v>
      </c>
      <c r="F1086" s="293">
        <f>'C'!E332</f>
        <v>56724</v>
      </c>
      <c r="G1086" s="293">
        <f>'C'!F332</f>
        <v>56724</v>
      </c>
      <c r="H1086" s="293">
        <f>'C'!G332</f>
        <v>57213</v>
      </c>
      <c r="I1086" s="293">
        <f>'C'!H332</f>
        <v>57995</v>
      </c>
      <c r="J1086" s="293">
        <f>'C'!I332</f>
        <v>58484</v>
      </c>
      <c r="K1086" s="293">
        <f>'C'!J332</f>
        <v>55942</v>
      </c>
      <c r="L1086" s="293">
        <f>'C'!K332</f>
        <v>54866</v>
      </c>
      <c r="M1086" s="293">
        <f>'C'!L332</f>
        <v>55746</v>
      </c>
      <c r="N1086" s="293">
        <f>'C'!M332</f>
        <v>58093</v>
      </c>
      <c r="O1086" s="293">
        <f>'C'!N332</f>
        <v>57604</v>
      </c>
      <c r="P1086" s="293">
        <f>'C'!O332</f>
        <v>53301</v>
      </c>
      <c r="Q1086" s="245">
        <f>SUM(E1086:P1086)</f>
        <v>680981</v>
      </c>
    </row>
    <row r="1087" spans="1:17" x14ac:dyDescent="0.2">
      <c r="A1087" s="222">
        <f>A1086+1</f>
        <v>7</v>
      </c>
      <c r="C1087" s="240" t="s">
        <v>207</v>
      </c>
      <c r="D1087" s="782">
        <f>Input!C48</f>
        <v>8.5800000000000001E-2</v>
      </c>
      <c r="E1087" s="427">
        <f t="shared" ref="E1087:P1087" si="331">ROUND(E1086*$D$1087,2)</f>
        <v>5001.2</v>
      </c>
      <c r="F1087" s="427">
        <f t="shared" si="331"/>
        <v>4866.92</v>
      </c>
      <c r="G1087" s="427">
        <f t="shared" si="331"/>
        <v>4866.92</v>
      </c>
      <c r="H1087" s="427">
        <f t="shared" si="331"/>
        <v>4908.88</v>
      </c>
      <c r="I1087" s="427">
        <f t="shared" si="331"/>
        <v>4975.97</v>
      </c>
      <c r="J1087" s="427">
        <f t="shared" si="331"/>
        <v>5017.93</v>
      </c>
      <c r="K1087" s="427">
        <f t="shared" si="331"/>
        <v>4799.82</v>
      </c>
      <c r="L1087" s="427">
        <f t="shared" si="331"/>
        <v>4707.5</v>
      </c>
      <c r="M1087" s="427">
        <f t="shared" si="331"/>
        <v>4783.01</v>
      </c>
      <c r="N1087" s="427">
        <f t="shared" si="331"/>
        <v>4984.38</v>
      </c>
      <c r="O1087" s="427">
        <f t="shared" si="331"/>
        <v>4942.42</v>
      </c>
      <c r="P1087" s="427">
        <f t="shared" si="331"/>
        <v>4573.2299999999996</v>
      </c>
      <c r="Q1087" s="427">
        <f>SUM(E1087:P1087)</f>
        <v>58428.179999999993</v>
      </c>
    </row>
    <row r="1088" spans="1:17" x14ac:dyDescent="0.2">
      <c r="D1088" s="286"/>
      <c r="E1088" s="466"/>
      <c r="F1088" s="466"/>
      <c r="G1088" s="466"/>
      <c r="H1088" s="466"/>
      <c r="I1088" s="466"/>
      <c r="J1088" s="466"/>
      <c r="K1088" s="466"/>
      <c r="L1088" s="459"/>
      <c r="M1088" s="459"/>
      <c r="N1088" s="459"/>
      <c r="O1088" s="459"/>
      <c r="P1088" s="459"/>
      <c r="Q1088" s="484"/>
    </row>
    <row r="1089" spans="1:17" x14ac:dyDescent="0.2">
      <c r="A1089" s="222">
        <f>A1087+1</f>
        <v>8</v>
      </c>
      <c r="C1089" s="219" t="s">
        <v>204</v>
      </c>
      <c r="D1089" s="286"/>
      <c r="E1089" s="427">
        <f t="shared" ref="E1089:O1089" si="332">E1083+E1084+E1087</f>
        <v>5768.9</v>
      </c>
      <c r="F1089" s="427">
        <f t="shared" si="332"/>
        <v>5634.62</v>
      </c>
      <c r="G1089" s="427">
        <f t="shared" si="332"/>
        <v>5634.62</v>
      </c>
      <c r="H1089" s="427">
        <f t="shared" si="332"/>
        <v>5676.58</v>
      </c>
      <c r="I1089" s="427">
        <f t="shared" si="332"/>
        <v>5743.67</v>
      </c>
      <c r="J1089" s="427">
        <f t="shared" si="332"/>
        <v>5785.63</v>
      </c>
      <c r="K1089" s="427">
        <f t="shared" si="332"/>
        <v>5567.5199999999995</v>
      </c>
      <c r="L1089" s="427">
        <f t="shared" si="332"/>
        <v>5475.2</v>
      </c>
      <c r="M1089" s="427">
        <f t="shared" si="332"/>
        <v>5550.71</v>
      </c>
      <c r="N1089" s="427">
        <f t="shared" si="332"/>
        <v>5752.08</v>
      </c>
      <c r="O1089" s="427">
        <f t="shared" si="332"/>
        <v>5710.12</v>
      </c>
      <c r="P1089" s="427">
        <f>P1083+P1084+P1087</f>
        <v>5340.9299999999994</v>
      </c>
      <c r="Q1089" s="427">
        <f>SUM(E1089:P1089)</f>
        <v>67640.579999999987</v>
      </c>
    </row>
    <row r="1090" spans="1:17" x14ac:dyDescent="0.2">
      <c r="D1090" s="286"/>
      <c r="E1090" s="466"/>
      <c r="F1090" s="466"/>
      <c r="G1090" s="466"/>
      <c r="H1090" s="466"/>
      <c r="I1090" s="466"/>
      <c r="J1090" s="466"/>
      <c r="K1090" s="466"/>
      <c r="L1090" s="466"/>
      <c r="M1090" s="466"/>
      <c r="N1090" s="466"/>
      <c r="O1090" s="466"/>
      <c r="P1090" s="466"/>
      <c r="Q1090" s="484"/>
    </row>
    <row r="1091" spans="1:17" x14ac:dyDescent="0.2">
      <c r="A1091" s="222">
        <f>A1089+1</f>
        <v>9</v>
      </c>
      <c r="C1091" s="219" t="s">
        <v>151</v>
      </c>
      <c r="D1091" s="783">
        <v>0</v>
      </c>
      <c r="E1091" s="510">
        <v>0</v>
      </c>
      <c r="F1091" s="510">
        <v>0</v>
      </c>
      <c r="G1091" s="510">
        <v>0</v>
      </c>
      <c r="H1091" s="510">
        <v>0</v>
      </c>
      <c r="I1091" s="510">
        <v>0</v>
      </c>
      <c r="J1091" s="510">
        <v>0</v>
      </c>
      <c r="K1091" s="510">
        <v>0</v>
      </c>
      <c r="L1091" s="510">
        <v>0</v>
      </c>
      <c r="M1091" s="510">
        <v>0</v>
      </c>
      <c r="N1091" s="510">
        <v>0</v>
      </c>
      <c r="O1091" s="510">
        <v>0</v>
      </c>
      <c r="P1091" s="510">
        <v>0</v>
      </c>
      <c r="Q1091" s="427">
        <f>SUM(E1091:P1091)</f>
        <v>0</v>
      </c>
    </row>
    <row r="1092" spans="1:17" x14ac:dyDescent="0.2">
      <c r="D1092" s="286"/>
      <c r="E1092" s="466"/>
      <c r="F1092" s="466"/>
      <c r="G1092" s="466"/>
      <c r="H1092" s="466"/>
      <c r="I1092" s="466"/>
      <c r="J1092" s="466"/>
      <c r="K1092" s="466"/>
      <c r="L1092" s="466"/>
      <c r="M1092" s="466"/>
      <c r="N1092" s="466"/>
      <c r="O1092" s="466"/>
      <c r="P1092" s="466"/>
      <c r="Q1092" s="459"/>
    </row>
    <row r="1093" spans="1:17" ht="10.8" thickBot="1" x14ac:dyDescent="0.25">
      <c r="A1093" s="488">
        <f>A1091+1</f>
        <v>10</v>
      </c>
      <c r="B1093" s="489"/>
      <c r="C1093" s="489" t="s">
        <v>205</v>
      </c>
      <c r="D1093" s="490"/>
      <c r="E1093" s="492">
        <f t="shared" ref="E1093:O1093" si="333">E1089+E1091</f>
        <v>5768.9</v>
      </c>
      <c r="F1093" s="492">
        <f t="shared" si="333"/>
        <v>5634.62</v>
      </c>
      <c r="G1093" s="492">
        <f t="shared" si="333"/>
        <v>5634.62</v>
      </c>
      <c r="H1093" s="492">
        <f t="shared" si="333"/>
        <v>5676.58</v>
      </c>
      <c r="I1093" s="492">
        <f t="shared" si="333"/>
        <v>5743.67</v>
      </c>
      <c r="J1093" s="492">
        <f t="shared" si="333"/>
        <v>5785.63</v>
      </c>
      <c r="K1093" s="492">
        <f t="shared" si="333"/>
        <v>5567.5199999999995</v>
      </c>
      <c r="L1093" s="492">
        <f t="shared" si="333"/>
        <v>5475.2</v>
      </c>
      <c r="M1093" s="492">
        <f t="shared" si="333"/>
        <v>5550.71</v>
      </c>
      <c r="N1093" s="492">
        <f t="shared" si="333"/>
        <v>5752.08</v>
      </c>
      <c r="O1093" s="492">
        <f t="shared" si="333"/>
        <v>5710.12</v>
      </c>
      <c r="P1093" s="492">
        <f>P1089+P1091</f>
        <v>5340.9299999999994</v>
      </c>
      <c r="Q1093" s="492">
        <f>SUM(E1093:P1093)</f>
        <v>67640.579999999987</v>
      </c>
    </row>
    <row r="1094" spans="1:17" ht="10.8" thickTop="1" x14ac:dyDescent="0.2"/>
    <row r="1096" spans="1:17" x14ac:dyDescent="0.2">
      <c r="A1096" s="222">
        <f>A1093+1</f>
        <v>11</v>
      </c>
      <c r="B1096" s="219" t="str">
        <f>B303</f>
        <v>FX1</v>
      </c>
      <c r="C1096" s="219" t="str">
        <f>C303</f>
        <v>GTS Flex Rate - Commercial</v>
      </c>
    </row>
    <row r="1098" spans="1:17" x14ac:dyDescent="0.2">
      <c r="A1098" s="222">
        <f>A1096+1</f>
        <v>12</v>
      </c>
      <c r="C1098" s="223" t="s">
        <v>111</v>
      </c>
    </row>
    <row r="1099" spans="1:17" x14ac:dyDescent="0.2">
      <c r="C1099" s="223"/>
    </row>
    <row r="1100" spans="1:17" x14ac:dyDescent="0.2">
      <c r="A1100" s="222">
        <f>A1098+1</f>
        <v>13</v>
      </c>
      <c r="C1100" s="219" t="s">
        <v>202</v>
      </c>
      <c r="E1100" s="472">
        <f>B!D228</f>
        <v>1</v>
      </c>
      <c r="F1100" s="472">
        <f>B!E228</f>
        <v>1</v>
      </c>
      <c r="G1100" s="472">
        <f>B!F228</f>
        <v>1</v>
      </c>
      <c r="H1100" s="472">
        <f>B!G228</f>
        <v>1</v>
      </c>
      <c r="I1100" s="472">
        <f>B!H228</f>
        <v>1</v>
      </c>
      <c r="J1100" s="472">
        <f>B!I228</f>
        <v>1</v>
      </c>
      <c r="K1100" s="472">
        <f>B!J228</f>
        <v>1</v>
      </c>
      <c r="L1100" s="472">
        <f>B!K228</f>
        <v>1</v>
      </c>
      <c r="M1100" s="472">
        <f>B!L228</f>
        <v>1</v>
      </c>
      <c r="N1100" s="472">
        <f>B!M228</f>
        <v>1</v>
      </c>
      <c r="O1100" s="472">
        <f>B!N228</f>
        <v>1</v>
      </c>
      <c r="P1100" s="472">
        <f>B!O228</f>
        <v>1</v>
      </c>
      <c r="Q1100" s="473">
        <f>SUM(E1100:P1100)</f>
        <v>12</v>
      </c>
    </row>
    <row r="1101" spans="1:17" x14ac:dyDescent="0.2">
      <c r="A1101" s="222">
        <f>A1100+1</f>
        <v>14</v>
      </c>
      <c r="C1101" s="219" t="s">
        <v>210</v>
      </c>
      <c r="D1101" s="781">
        <f>Input!H49</f>
        <v>1007.05</v>
      </c>
      <c r="E1101" s="427">
        <f t="shared" ref="E1101:P1101" si="334">ROUND(E1100*$D$1101,2)</f>
        <v>1007.05</v>
      </c>
      <c r="F1101" s="427">
        <f t="shared" si="334"/>
        <v>1007.05</v>
      </c>
      <c r="G1101" s="427">
        <f t="shared" si="334"/>
        <v>1007.05</v>
      </c>
      <c r="H1101" s="427">
        <f t="shared" si="334"/>
        <v>1007.05</v>
      </c>
      <c r="I1101" s="427">
        <f t="shared" si="334"/>
        <v>1007.05</v>
      </c>
      <c r="J1101" s="427">
        <f t="shared" si="334"/>
        <v>1007.05</v>
      </c>
      <c r="K1101" s="427">
        <f t="shared" si="334"/>
        <v>1007.05</v>
      </c>
      <c r="L1101" s="427">
        <f t="shared" si="334"/>
        <v>1007.05</v>
      </c>
      <c r="M1101" s="427">
        <f t="shared" si="334"/>
        <v>1007.05</v>
      </c>
      <c r="N1101" s="427">
        <f t="shared" si="334"/>
        <v>1007.05</v>
      </c>
      <c r="O1101" s="427">
        <f t="shared" si="334"/>
        <v>1007.05</v>
      </c>
      <c r="P1101" s="427">
        <f t="shared" si="334"/>
        <v>1007.05</v>
      </c>
      <c r="Q1101" s="427">
        <f>SUM(E1101:P1101)</f>
        <v>12084.599999999999</v>
      </c>
    </row>
    <row r="1102" spans="1:17" x14ac:dyDescent="0.2">
      <c r="A1102" s="222">
        <f>A1101+1</f>
        <v>15</v>
      </c>
      <c r="C1102" s="219" t="s">
        <v>217</v>
      </c>
      <c r="D1102" s="781">
        <f>Input!I49</f>
        <v>55.9</v>
      </c>
      <c r="E1102" s="427">
        <f t="shared" ref="E1102:P1102" si="335">ROUND(E1100*$D$1102,2)</f>
        <v>55.9</v>
      </c>
      <c r="F1102" s="427">
        <f t="shared" si="335"/>
        <v>55.9</v>
      </c>
      <c r="G1102" s="427">
        <f t="shared" si="335"/>
        <v>55.9</v>
      </c>
      <c r="H1102" s="427">
        <f t="shared" si="335"/>
        <v>55.9</v>
      </c>
      <c r="I1102" s="427">
        <f t="shared" si="335"/>
        <v>55.9</v>
      </c>
      <c r="J1102" s="427">
        <f t="shared" si="335"/>
        <v>55.9</v>
      </c>
      <c r="K1102" s="427">
        <f t="shared" si="335"/>
        <v>55.9</v>
      </c>
      <c r="L1102" s="427">
        <f t="shared" si="335"/>
        <v>55.9</v>
      </c>
      <c r="M1102" s="427">
        <f t="shared" si="335"/>
        <v>55.9</v>
      </c>
      <c r="N1102" s="427">
        <f t="shared" si="335"/>
        <v>55.9</v>
      </c>
      <c r="O1102" s="427">
        <f t="shared" si="335"/>
        <v>55.9</v>
      </c>
      <c r="P1102" s="427">
        <f t="shared" si="335"/>
        <v>55.9</v>
      </c>
      <c r="Q1102" s="427">
        <f>SUM(E1102:P1102)</f>
        <v>670.79999999999984</v>
      </c>
    </row>
    <row r="1103" spans="1:17" x14ac:dyDescent="0.2">
      <c r="D1103" s="286"/>
      <c r="E1103" s="222"/>
      <c r="F1103" s="288"/>
      <c r="G1103" s="469"/>
      <c r="H1103" s="288"/>
      <c r="I1103" s="293"/>
      <c r="J1103" s="288"/>
      <c r="K1103" s="288"/>
    </row>
    <row r="1104" spans="1:17" x14ac:dyDescent="0.2">
      <c r="A1104" s="222">
        <f>A1102+1</f>
        <v>16</v>
      </c>
      <c r="C1104" s="219" t="s">
        <v>209</v>
      </c>
      <c r="D1104" s="286"/>
      <c r="E1104" s="293">
        <f>'C'!D337</f>
        <v>74328</v>
      </c>
      <c r="F1104" s="293">
        <f>'C'!E337</f>
        <v>58680</v>
      </c>
      <c r="G1104" s="293">
        <f>'C'!F337</f>
        <v>70416</v>
      </c>
      <c r="H1104" s="293">
        <f>'C'!G337</f>
        <v>34230</v>
      </c>
      <c r="I1104" s="293">
        <f>'C'!H337</f>
        <v>29340</v>
      </c>
      <c r="J1104" s="293">
        <f>'C'!I337</f>
        <v>29340</v>
      </c>
      <c r="K1104" s="293">
        <f>'C'!J337</f>
        <v>29340</v>
      </c>
      <c r="L1104" s="293">
        <f>'C'!K337</f>
        <v>29340</v>
      </c>
      <c r="M1104" s="293">
        <f>'C'!L337</f>
        <v>34230</v>
      </c>
      <c r="N1104" s="293">
        <f>'C'!M337</f>
        <v>39120</v>
      </c>
      <c r="O1104" s="293">
        <f>'C'!N337</f>
        <v>49878</v>
      </c>
      <c r="P1104" s="293">
        <f>'C'!O337</f>
        <v>63570</v>
      </c>
      <c r="Q1104" s="245">
        <f>SUM(E1104:P1104)</f>
        <v>541812</v>
      </c>
    </row>
    <row r="1105" spans="1:17" x14ac:dyDescent="0.2">
      <c r="A1105" s="222">
        <f>A1104+1</f>
        <v>17</v>
      </c>
      <c r="C1105" s="219" t="s">
        <v>207</v>
      </c>
      <c r="D1105" s="782">
        <f>Input!C49</f>
        <v>0.39</v>
      </c>
      <c r="E1105" s="427">
        <f t="shared" ref="E1105:P1105" si="336">ROUND(E1104*$D$1105,2)</f>
        <v>28987.919999999998</v>
      </c>
      <c r="F1105" s="427">
        <f t="shared" si="336"/>
        <v>22885.200000000001</v>
      </c>
      <c r="G1105" s="427">
        <f t="shared" si="336"/>
        <v>27462.240000000002</v>
      </c>
      <c r="H1105" s="427">
        <f t="shared" si="336"/>
        <v>13349.7</v>
      </c>
      <c r="I1105" s="427">
        <f t="shared" si="336"/>
        <v>11442.6</v>
      </c>
      <c r="J1105" s="427">
        <f t="shared" si="336"/>
        <v>11442.6</v>
      </c>
      <c r="K1105" s="427">
        <f t="shared" si="336"/>
        <v>11442.6</v>
      </c>
      <c r="L1105" s="427">
        <f t="shared" si="336"/>
        <v>11442.6</v>
      </c>
      <c r="M1105" s="427">
        <f t="shared" si="336"/>
        <v>13349.7</v>
      </c>
      <c r="N1105" s="427">
        <f t="shared" si="336"/>
        <v>15256.8</v>
      </c>
      <c r="O1105" s="427">
        <f t="shared" si="336"/>
        <v>19452.419999999998</v>
      </c>
      <c r="P1105" s="427">
        <f t="shared" si="336"/>
        <v>24792.3</v>
      </c>
      <c r="Q1105" s="427">
        <f>SUM(E1105:P1105)</f>
        <v>211306.68</v>
      </c>
    </row>
    <row r="1106" spans="1:17" x14ac:dyDescent="0.2">
      <c r="D1106" s="286"/>
      <c r="E1106" s="222"/>
      <c r="F1106" s="288"/>
      <c r="G1106" s="469"/>
      <c r="H1106" s="288"/>
      <c r="I1106" s="293"/>
      <c r="J1106" s="288"/>
      <c r="K1106" s="288"/>
      <c r="Q1106" s="517"/>
    </row>
    <row r="1107" spans="1:17" x14ac:dyDescent="0.2">
      <c r="A1107" s="222">
        <f>A1105+1</f>
        <v>18</v>
      </c>
      <c r="C1107" s="219" t="s">
        <v>204</v>
      </c>
      <c r="D1107" s="286"/>
      <c r="E1107" s="427">
        <f t="shared" ref="E1107:O1107" si="337">E1101+E1102+E1105</f>
        <v>30050.87</v>
      </c>
      <c r="F1107" s="427">
        <f t="shared" si="337"/>
        <v>23948.15</v>
      </c>
      <c r="G1107" s="427">
        <f t="shared" si="337"/>
        <v>28525.190000000002</v>
      </c>
      <c r="H1107" s="427">
        <f t="shared" si="337"/>
        <v>14412.650000000001</v>
      </c>
      <c r="I1107" s="427">
        <f t="shared" si="337"/>
        <v>12505.550000000001</v>
      </c>
      <c r="J1107" s="427">
        <f t="shared" si="337"/>
        <v>12505.550000000001</v>
      </c>
      <c r="K1107" s="427">
        <f t="shared" si="337"/>
        <v>12505.550000000001</v>
      </c>
      <c r="L1107" s="427">
        <f t="shared" si="337"/>
        <v>12505.550000000001</v>
      </c>
      <c r="M1107" s="427">
        <f t="shared" si="337"/>
        <v>14412.650000000001</v>
      </c>
      <c r="N1107" s="427">
        <f t="shared" si="337"/>
        <v>16319.75</v>
      </c>
      <c r="O1107" s="427">
        <f t="shared" si="337"/>
        <v>20515.37</v>
      </c>
      <c r="P1107" s="427">
        <f>P1101+P1102+P1105</f>
        <v>25855.25</v>
      </c>
      <c r="Q1107" s="427">
        <f>SUM(E1107:P1107)</f>
        <v>224062.07999999999</v>
      </c>
    </row>
    <row r="1108" spans="1:17" x14ac:dyDescent="0.2">
      <c r="D1108" s="286"/>
      <c r="E1108" s="466"/>
      <c r="F1108" s="466"/>
      <c r="G1108" s="466"/>
      <c r="H1108" s="466"/>
      <c r="I1108" s="466"/>
      <c r="J1108" s="466"/>
      <c r="K1108" s="466"/>
      <c r="L1108" s="459"/>
      <c r="M1108" s="459"/>
      <c r="N1108" s="459"/>
      <c r="O1108" s="459"/>
      <c r="P1108" s="459"/>
      <c r="Q1108" s="484"/>
    </row>
    <row r="1109" spans="1:17" x14ac:dyDescent="0.2">
      <c r="A1109" s="222">
        <f>A1107+1</f>
        <v>19</v>
      </c>
      <c r="C1109" s="219" t="s">
        <v>151</v>
      </c>
      <c r="D1109" s="783">
        <v>0</v>
      </c>
      <c r="E1109" s="510">
        <v>0</v>
      </c>
      <c r="F1109" s="510">
        <v>0</v>
      </c>
      <c r="G1109" s="510">
        <v>0</v>
      </c>
      <c r="H1109" s="510">
        <v>0</v>
      </c>
      <c r="I1109" s="510">
        <v>0</v>
      </c>
      <c r="J1109" s="510">
        <v>0</v>
      </c>
      <c r="K1109" s="510">
        <v>0</v>
      </c>
      <c r="L1109" s="510">
        <v>0</v>
      </c>
      <c r="M1109" s="510">
        <v>0</v>
      </c>
      <c r="N1109" s="510">
        <v>0</v>
      </c>
      <c r="O1109" s="510">
        <v>0</v>
      </c>
      <c r="P1109" s="510">
        <v>0</v>
      </c>
      <c r="Q1109" s="427">
        <f>SUM(E1109:P1109)</f>
        <v>0</v>
      </c>
    </row>
    <row r="1110" spans="1:17" x14ac:dyDescent="0.2">
      <c r="E1110" s="459"/>
      <c r="F1110" s="459"/>
      <c r="G1110" s="459"/>
      <c r="H1110" s="459"/>
      <c r="I1110" s="459"/>
      <c r="J1110" s="459"/>
      <c r="K1110" s="459"/>
      <c r="L1110" s="459"/>
      <c r="M1110" s="459"/>
      <c r="N1110" s="459"/>
      <c r="O1110" s="459"/>
      <c r="P1110" s="459"/>
      <c r="Q1110" s="459"/>
    </row>
    <row r="1111" spans="1:17" ht="10.8" thickBot="1" x14ac:dyDescent="0.25">
      <c r="A1111" s="488">
        <f>A1109+1</f>
        <v>20</v>
      </c>
      <c r="B1111" s="489"/>
      <c r="C1111" s="489" t="s">
        <v>205</v>
      </c>
      <c r="D1111" s="490"/>
      <c r="E1111" s="492">
        <f t="shared" ref="E1111:O1111" si="338">E1107+E1109</f>
        <v>30050.87</v>
      </c>
      <c r="F1111" s="492">
        <f t="shared" si="338"/>
        <v>23948.15</v>
      </c>
      <c r="G1111" s="492">
        <f t="shared" si="338"/>
        <v>28525.190000000002</v>
      </c>
      <c r="H1111" s="492">
        <f t="shared" si="338"/>
        <v>14412.650000000001</v>
      </c>
      <c r="I1111" s="492">
        <f t="shared" si="338"/>
        <v>12505.550000000001</v>
      </c>
      <c r="J1111" s="492">
        <f t="shared" si="338"/>
        <v>12505.550000000001</v>
      </c>
      <c r="K1111" s="492">
        <f t="shared" si="338"/>
        <v>12505.550000000001</v>
      </c>
      <c r="L1111" s="492">
        <f t="shared" si="338"/>
        <v>12505.550000000001</v>
      </c>
      <c r="M1111" s="492">
        <f t="shared" si="338"/>
        <v>14412.650000000001</v>
      </c>
      <c r="N1111" s="492">
        <f t="shared" si="338"/>
        <v>16319.75</v>
      </c>
      <c r="O1111" s="492">
        <f t="shared" si="338"/>
        <v>20515.37</v>
      </c>
      <c r="P1111" s="492">
        <f>P1107+P1109</f>
        <v>25855.25</v>
      </c>
      <c r="Q1111" s="492">
        <f>SUM(E1111:P1111)</f>
        <v>224062.07999999999</v>
      </c>
    </row>
    <row r="1112" spans="1:17" ht="10.8" thickTop="1" x14ac:dyDescent="0.2"/>
    <row r="1114" spans="1:17" x14ac:dyDescent="0.2">
      <c r="A1114" s="222">
        <f>A1111+1</f>
        <v>21</v>
      </c>
      <c r="B1114" s="219" t="str">
        <f>B310</f>
        <v>FX2</v>
      </c>
      <c r="C1114" s="219" t="str">
        <f>C310</f>
        <v>GTS Flex Rate - Commercial</v>
      </c>
    </row>
    <row r="1116" spans="1:17" x14ac:dyDescent="0.2">
      <c r="A1116" s="222">
        <f>A1114+1</f>
        <v>22</v>
      </c>
      <c r="C1116" s="223" t="s">
        <v>111</v>
      </c>
    </row>
    <row r="1117" spans="1:17" x14ac:dyDescent="0.2">
      <c r="C1117" s="223"/>
      <c r="E1117" s="222"/>
      <c r="F1117" s="288"/>
      <c r="G1117" s="469"/>
      <c r="H1117" s="288"/>
      <c r="I1117" s="293"/>
      <c r="J1117" s="288"/>
      <c r="K1117" s="288"/>
      <c r="L1117" s="288"/>
    </row>
    <row r="1118" spans="1:17" x14ac:dyDescent="0.2">
      <c r="A1118" s="222">
        <f>A1116+1</f>
        <v>23</v>
      </c>
      <c r="C1118" s="219" t="s">
        <v>202</v>
      </c>
      <c r="E1118" s="472">
        <f>B!D234</f>
        <v>1</v>
      </c>
      <c r="F1118" s="472">
        <f>B!E234</f>
        <v>1</v>
      </c>
      <c r="G1118" s="472">
        <f>B!F234</f>
        <v>1</v>
      </c>
      <c r="H1118" s="472">
        <f>B!G234</f>
        <v>1</v>
      </c>
      <c r="I1118" s="472">
        <f>B!H234</f>
        <v>1</v>
      </c>
      <c r="J1118" s="472">
        <f>B!I234</f>
        <v>1</v>
      </c>
      <c r="K1118" s="472">
        <f>B!J234</f>
        <v>1</v>
      </c>
      <c r="L1118" s="472">
        <f>B!K234</f>
        <v>1</v>
      </c>
      <c r="M1118" s="472">
        <f>B!L234</f>
        <v>1</v>
      </c>
      <c r="N1118" s="472">
        <f>B!M234</f>
        <v>1</v>
      </c>
      <c r="O1118" s="472">
        <f>B!N234</f>
        <v>1</v>
      </c>
      <c r="P1118" s="472">
        <f>B!O234</f>
        <v>1</v>
      </c>
      <c r="Q1118" s="473">
        <f>SUM(E1118:P1118)</f>
        <v>12</v>
      </c>
    </row>
    <row r="1119" spans="1:17" x14ac:dyDescent="0.2">
      <c r="A1119" s="222">
        <f>A1118+1</f>
        <v>24</v>
      </c>
      <c r="C1119" s="219" t="s">
        <v>210</v>
      </c>
      <c r="D1119" s="781">
        <f>Input!H50</f>
        <v>1007.05</v>
      </c>
      <c r="E1119" s="427">
        <f t="shared" ref="E1119:P1119" si="339">ROUND(E1118*$D$1119,2)</f>
        <v>1007.05</v>
      </c>
      <c r="F1119" s="427">
        <f t="shared" si="339"/>
        <v>1007.05</v>
      </c>
      <c r="G1119" s="427">
        <f t="shared" si="339"/>
        <v>1007.05</v>
      </c>
      <c r="H1119" s="427">
        <f t="shared" si="339"/>
        <v>1007.05</v>
      </c>
      <c r="I1119" s="427">
        <f t="shared" si="339"/>
        <v>1007.05</v>
      </c>
      <c r="J1119" s="427">
        <f t="shared" si="339"/>
        <v>1007.05</v>
      </c>
      <c r="K1119" s="427">
        <f t="shared" si="339"/>
        <v>1007.05</v>
      </c>
      <c r="L1119" s="427">
        <f t="shared" si="339"/>
        <v>1007.05</v>
      </c>
      <c r="M1119" s="427">
        <f t="shared" si="339"/>
        <v>1007.05</v>
      </c>
      <c r="N1119" s="427">
        <f t="shared" si="339"/>
        <v>1007.05</v>
      </c>
      <c r="O1119" s="427">
        <f t="shared" si="339"/>
        <v>1007.05</v>
      </c>
      <c r="P1119" s="427">
        <f t="shared" si="339"/>
        <v>1007.05</v>
      </c>
      <c r="Q1119" s="427">
        <f>SUM(E1119:P1119)</f>
        <v>12084.599999999999</v>
      </c>
    </row>
    <row r="1120" spans="1:17" x14ac:dyDescent="0.2">
      <c r="A1120" s="222">
        <f>A1119+1</f>
        <v>25</v>
      </c>
      <c r="C1120" s="219" t="s">
        <v>217</v>
      </c>
      <c r="D1120" s="781">
        <f>Input!I50</f>
        <v>55.9</v>
      </c>
      <c r="E1120" s="427">
        <f t="shared" ref="E1120:P1120" si="340">ROUND(E1118*$D$1120,2)</f>
        <v>55.9</v>
      </c>
      <c r="F1120" s="427">
        <f t="shared" si="340"/>
        <v>55.9</v>
      </c>
      <c r="G1120" s="427">
        <f t="shared" si="340"/>
        <v>55.9</v>
      </c>
      <c r="H1120" s="427">
        <f t="shared" si="340"/>
        <v>55.9</v>
      </c>
      <c r="I1120" s="427">
        <f t="shared" si="340"/>
        <v>55.9</v>
      </c>
      <c r="J1120" s="427">
        <f t="shared" si="340"/>
        <v>55.9</v>
      </c>
      <c r="K1120" s="427">
        <f t="shared" si="340"/>
        <v>55.9</v>
      </c>
      <c r="L1120" s="427">
        <f t="shared" si="340"/>
        <v>55.9</v>
      </c>
      <c r="M1120" s="427">
        <f t="shared" si="340"/>
        <v>55.9</v>
      </c>
      <c r="N1120" s="427">
        <f t="shared" si="340"/>
        <v>55.9</v>
      </c>
      <c r="O1120" s="427">
        <f t="shared" si="340"/>
        <v>55.9</v>
      </c>
      <c r="P1120" s="427">
        <f t="shared" si="340"/>
        <v>55.9</v>
      </c>
      <c r="Q1120" s="427">
        <f>SUM(E1120:P1120)</f>
        <v>670.79999999999984</v>
      </c>
    </row>
    <row r="1121" spans="1:17" x14ac:dyDescent="0.2">
      <c r="D1121" s="286"/>
      <c r="E1121" s="222"/>
      <c r="F1121" s="288"/>
      <c r="G1121" s="469"/>
      <c r="H1121" s="288"/>
      <c r="I1121" s="293"/>
      <c r="J1121" s="288"/>
      <c r="K1121" s="288"/>
    </row>
    <row r="1122" spans="1:17" x14ac:dyDescent="0.2">
      <c r="A1122" s="222">
        <f>A1120+1</f>
        <v>26</v>
      </c>
      <c r="C1122" s="219" t="s">
        <v>209</v>
      </c>
      <c r="D1122" s="286"/>
      <c r="E1122" s="293">
        <f>'C'!D355</f>
        <v>44010</v>
      </c>
      <c r="F1122" s="293">
        <f>'C'!E355</f>
        <v>56724</v>
      </c>
      <c r="G1122" s="293">
        <f>'C'!F355</f>
        <v>33252</v>
      </c>
      <c r="H1122" s="293">
        <f>'C'!G355</f>
        <v>47922</v>
      </c>
      <c r="I1122" s="293">
        <f>'C'!H355</f>
        <v>37164</v>
      </c>
      <c r="J1122" s="293">
        <f>'C'!I355</f>
        <v>37164</v>
      </c>
      <c r="K1122" s="293">
        <f>'C'!J355</f>
        <v>39120</v>
      </c>
      <c r="L1122" s="293">
        <f>'C'!K355</f>
        <v>37164</v>
      </c>
      <c r="M1122" s="293">
        <f>'C'!L355</f>
        <v>41076</v>
      </c>
      <c r="N1122" s="293">
        <f>'C'!M355</f>
        <v>50856</v>
      </c>
      <c r="O1122" s="293">
        <f>'C'!N355</f>
        <v>54768</v>
      </c>
      <c r="P1122" s="293">
        <f>'C'!O355</f>
        <v>54768</v>
      </c>
      <c r="Q1122" s="245">
        <f>SUM(E1122:P1122)</f>
        <v>533988</v>
      </c>
    </row>
    <row r="1123" spans="1:17" x14ac:dyDescent="0.2">
      <c r="A1123" s="222">
        <f>A1122+1</f>
        <v>27</v>
      </c>
      <c r="C1123" s="240" t="s">
        <v>207</v>
      </c>
      <c r="D1123" s="782">
        <f>Input!C50</f>
        <v>0.39</v>
      </c>
      <c r="E1123" s="427">
        <f t="shared" ref="E1123:P1123" si="341">ROUND(E1122*$D$1123,2)</f>
        <v>17163.900000000001</v>
      </c>
      <c r="F1123" s="427">
        <f t="shared" si="341"/>
        <v>22122.36</v>
      </c>
      <c r="G1123" s="427">
        <f t="shared" si="341"/>
        <v>12968.28</v>
      </c>
      <c r="H1123" s="427">
        <f t="shared" si="341"/>
        <v>18689.580000000002</v>
      </c>
      <c r="I1123" s="427">
        <f t="shared" si="341"/>
        <v>14493.96</v>
      </c>
      <c r="J1123" s="427">
        <f t="shared" si="341"/>
        <v>14493.96</v>
      </c>
      <c r="K1123" s="427">
        <f t="shared" si="341"/>
        <v>15256.8</v>
      </c>
      <c r="L1123" s="427">
        <f t="shared" si="341"/>
        <v>14493.96</v>
      </c>
      <c r="M1123" s="427">
        <f t="shared" si="341"/>
        <v>16019.64</v>
      </c>
      <c r="N1123" s="427">
        <f t="shared" si="341"/>
        <v>19833.84</v>
      </c>
      <c r="O1123" s="427">
        <f t="shared" si="341"/>
        <v>21359.52</v>
      </c>
      <c r="P1123" s="427">
        <f t="shared" si="341"/>
        <v>21359.52</v>
      </c>
      <c r="Q1123" s="427">
        <f>SUM(E1123:P1123)</f>
        <v>208255.31999999998</v>
      </c>
    </row>
    <row r="1124" spans="1:17" x14ac:dyDescent="0.2">
      <c r="C1124" s="240"/>
      <c r="D1124" s="286"/>
      <c r="E1124" s="466"/>
      <c r="F1124" s="466"/>
      <c r="G1124" s="466"/>
      <c r="H1124" s="466"/>
      <c r="I1124" s="466"/>
      <c r="J1124" s="466"/>
      <c r="K1124" s="466"/>
      <c r="L1124" s="459"/>
      <c r="M1124" s="459"/>
      <c r="N1124" s="459"/>
      <c r="O1124" s="459"/>
      <c r="P1124" s="459"/>
      <c r="Q1124" s="484"/>
    </row>
    <row r="1125" spans="1:17" x14ac:dyDescent="0.2">
      <c r="A1125" s="222">
        <f>A1123+1</f>
        <v>28</v>
      </c>
      <c r="C1125" s="240" t="s">
        <v>204</v>
      </c>
      <c r="D1125" s="286"/>
      <c r="E1125" s="427">
        <f t="shared" ref="E1125:O1125" si="342">E1119+E1120+E1123</f>
        <v>18226.850000000002</v>
      </c>
      <c r="F1125" s="427">
        <f t="shared" si="342"/>
        <v>23185.31</v>
      </c>
      <c r="G1125" s="427">
        <f t="shared" si="342"/>
        <v>14031.230000000001</v>
      </c>
      <c r="H1125" s="427">
        <f t="shared" si="342"/>
        <v>19752.530000000002</v>
      </c>
      <c r="I1125" s="427">
        <f t="shared" si="342"/>
        <v>15556.91</v>
      </c>
      <c r="J1125" s="427">
        <f t="shared" si="342"/>
        <v>15556.91</v>
      </c>
      <c r="K1125" s="427">
        <f t="shared" si="342"/>
        <v>16319.75</v>
      </c>
      <c r="L1125" s="427">
        <f t="shared" si="342"/>
        <v>15556.91</v>
      </c>
      <c r="M1125" s="427">
        <f t="shared" si="342"/>
        <v>17082.59</v>
      </c>
      <c r="N1125" s="427">
        <f t="shared" si="342"/>
        <v>20896.79</v>
      </c>
      <c r="O1125" s="427">
        <f t="shared" si="342"/>
        <v>22422.47</v>
      </c>
      <c r="P1125" s="427">
        <f>P1119+P1120+P1123</f>
        <v>22422.47</v>
      </c>
      <c r="Q1125" s="427">
        <f>SUM(E1125:P1125)</f>
        <v>221010.72000000003</v>
      </c>
    </row>
    <row r="1126" spans="1:17" x14ac:dyDescent="0.2">
      <c r="C1126" s="240"/>
      <c r="D1126" s="286"/>
      <c r="E1126" s="466"/>
      <c r="F1126" s="466"/>
      <c r="G1126" s="466"/>
      <c r="H1126" s="466"/>
      <c r="I1126" s="466"/>
      <c r="J1126" s="466"/>
      <c r="K1126" s="466"/>
      <c r="L1126" s="466"/>
      <c r="M1126" s="466"/>
      <c r="N1126" s="466"/>
      <c r="O1126" s="466"/>
      <c r="P1126" s="466"/>
      <c r="Q1126" s="484"/>
    </row>
    <row r="1127" spans="1:17" x14ac:dyDescent="0.2">
      <c r="A1127" s="222">
        <f>A1125+1</f>
        <v>29</v>
      </c>
      <c r="C1127" s="219" t="s">
        <v>151</v>
      </c>
      <c r="D1127" s="783">
        <v>0</v>
      </c>
      <c r="E1127" s="510">
        <v>0</v>
      </c>
      <c r="F1127" s="510">
        <v>0</v>
      </c>
      <c r="G1127" s="510">
        <v>0</v>
      </c>
      <c r="H1127" s="510">
        <v>0</v>
      </c>
      <c r="I1127" s="510">
        <v>0</v>
      </c>
      <c r="J1127" s="510">
        <v>0</v>
      </c>
      <c r="K1127" s="510">
        <v>0</v>
      </c>
      <c r="L1127" s="510">
        <v>0</v>
      </c>
      <c r="M1127" s="510">
        <v>0</v>
      </c>
      <c r="N1127" s="510">
        <v>0</v>
      </c>
      <c r="O1127" s="510">
        <v>0</v>
      </c>
      <c r="P1127" s="510">
        <v>0</v>
      </c>
      <c r="Q1127" s="427">
        <f>SUM(E1127:P1127)</f>
        <v>0</v>
      </c>
    </row>
    <row r="1128" spans="1:17" x14ac:dyDescent="0.2">
      <c r="E1128" s="459"/>
      <c r="F1128" s="459"/>
      <c r="G1128" s="459"/>
      <c r="H1128" s="459"/>
      <c r="I1128" s="459"/>
      <c r="J1128" s="459"/>
      <c r="K1128" s="459"/>
      <c r="L1128" s="459"/>
      <c r="M1128" s="459"/>
      <c r="N1128" s="459"/>
      <c r="O1128" s="459"/>
      <c r="P1128" s="459"/>
      <c r="Q1128" s="459"/>
    </row>
    <row r="1129" spans="1:17" ht="10.8" thickBot="1" x14ac:dyDescent="0.25">
      <c r="A1129" s="488">
        <f>A1127+1</f>
        <v>30</v>
      </c>
      <c r="B1129" s="489"/>
      <c r="C1129" s="489" t="s">
        <v>205</v>
      </c>
      <c r="D1129" s="490"/>
      <c r="E1129" s="492">
        <f t="shared" ref="E1129:O1129" si="343">E1125+E1127</f>
        <v>18226.850000000002</v>
      </c>
      <c r="F1129" s="492">
        <f t="shared" si="343"/>
        <v>23185.31</v>
      </c>
      <c r="G1129" s="492">
        <f t="shared" si="343"/>
        <v>14031.230000000001</v>
      </c>
      <c r="H1129" s="492">
        <f t="shared" si="343"/>
        <v>19752.530000000002</v>
      </c>
      <c r="I1129" s="492">
        <f t="shared" si="343"/>
        <v>15556.91</v>
      </c>
      <c r="J1129" s="492">
        <f t="shared" si="343"/>
        <v>15556.91</v>
      </c>
      <c r="K1129" s="492">
        <f t="shared" si="343"/>
        <v>16319.75</v>
      </c>
      <c r="L1129" s="492">
        <f t="shared" si="343"/>
        <v>15556.91</v>
      </c>
      <c r="M1129" s="492">
        <f t="shared" si="343"/>
        <v>17082.59</v>
      </c>
      <c r="N1129" s="492">
        <f t="shared" si="343"/>
        <v>20896.79</v>
      </c>
      <c r="O1129" s="492">
        <f t="shared" si="343"/>
        <v>22422.47</v>
      </c>
      <c r="P1129" s="492">
        <f>P1125+P1127</f>
        <v>22422.47</v>
      </c>
      <c r="Q1129" s="492">
        <f>SUM(E1129:P1129)</f>
        <v>221010.72000000003</v>
      </c>
    </row>
    <row r="1130" spans="1:17" ht="10.8" thickTop="1" x14ac:dyDescent="0.2">
      <c r="E1130" s="459"/>
      <c r="F1130" s="459"/>
      <c r="G1130" s="459"/>
      <c r="H1130" s="459"/>
      <c r="I1130" s="459"/>
      <c r="J1130" s="459"/>
      <c r="K1130" s="459"/>
      <c r="L1130" s="459"/>
      <c r="M1130" s="459"/>
      <c r="N1130" s="459"/>
      <c r="O1130" s="459"/>
      <c r="P1130" s="459"/>
      <c r="Q1130" s="459"/>
    </row>
    <row r="1132" spans="1:17" x14ac:dyDescent="0.2">
      <c r="A1132" s="222" t="str">
        <f>$A$270</f>
        <v>[1] Reflects Normalized Volumes.</v>
      </c>
    </row>
    <row r="1133" spans="1:17" x14ac:dyDescent="0.2">
      <c r="A1133" s="993" t="str">
        <f>CONAME</f>
        <v>Columbia Gas of Kentucky, Inc.</v>
      </c>
      <c r="B1133" s="993"/>
      <c r="C1133" s="993"/>
      <c r="D1133" s="993"/>
      <c r="E1133" s="993"/>
      <c r="F1133" s="993"/>
      <c r="G1133" s="993"/>
      <c r="H1133" s="993"/>
      <c r="I1133" s="993"/>
      <c r="J1133" s="993"/>
      <c r="K1133" s="993"/>
      <c r="L1133" s="993"/>
      <c r="M1133" s="993"/>
      <c r="N1133" s="993"/>
      <c r="O1133" s="993"/>
      <c r="P1133" s="993"/>
      <c r="Q1133" s="993"/>
    </row>
    <row r="1134" spans="1:17" x14ac:dyDescent="0.2">
      <c r="A1134" s="981" t="str">
        <f>case</f>
        <v>Case No. 2016-00162</v>
      </c>
      <c r="B1134" s="981"/>
      <c r="C1134" s="981"/>
      <c r="D1134" s="981"/>
      <c r="E1134" s="981"/>
      <c r="F1134" s="981"/>
      <c r="G1134" s="981"/>
      <c r="H1134" s="981"/>
      <c r="I1134" s="981"/>
      <c r="J1134" s="981"/>
      <c r="K1134" s="981"/>
      <c r="L1134" s="981"/>
      <c r="M1134" s="981"/>
      <c r="N1134" s="981"/>
      <c r="O1134" s="981"/>
      <c r="P1134" s="981"/>
      <c r="Q1134" s="981"/>
    </row>
    <row r="1135" spans="1:17" x14ac:dyDescent="0.2">
      <c r="A1135" s="994" t="s">
        <v>494</v>
      </c>
      <c r="B1135" s="994"/>
      <c r="C1135" s="994"/>
      <c r="D1135" s="994"/>
      <c r="E1135" s="994"/>
      <c r="F1135" s="994"/>
      <c r="G1135" s="994"/>
      <c r="H1135" s="994"/>
      <c r="I1135" s="994"/>
      <c r="J1135" s="994"/>
      <c r="K1135" s="994"/>
      <c r="L1135" s="994"/>
      <c r="M1135" s="994"/>
      <c r="N1135" s="994"/>
      <c r="O1135" s="994"/>
      <c r="P1135" s="994"/>
      <c r="Q1135" s="994"/>
    </row>
    <row r="1136" spans="1:17" x14ac:dyDescent="0.2">
      <c r="A1136" s="993" t="str">
        <f>TYDESC</f>
        <v>For the 12 Months Ended December 31, 2017</v>
      </c>
      <c r="B1136" s="993"/>
      <c r="C1136" s="993"/>
      <c r="D1136" s="993"/>
      <c r="E1136" s="993"/>
      <c r="F1136" s="993"/>
      <c r="G1136" s="993"/>
      <c r="H1136" s="993"/>
      <c r="I1136" s="993"/>
      <c r="J1136" s="993"/>
      <c r="K1136" s="993"/>
      <c r="L1136" s="993"/>
      <c r="M1136" s="993"/>
      <c r="N1136" s="993"/>
      <c r="O1136" s="993"/>
      <c r="P1136" s="993"/>
      <c r="Q1136" s="993"/>
    </row>
    <row r="1137" spans="1:17" x14ac:dyDescent="0.2">
      <c r="A1137" s="991" t="s">
        <v>39</v>
      </c>
      <c r="B1137" s="991"/>
      <c r="C1137" s="991"/>
      <c r="D1137" s="991"/>
      <c r="E1137" s="991"/>
      <c r="F1137" s="991"/>
      <c r="G1137" s="991"/>
      <c r="H1137" s="991"/>
      <c r="I1137" s="991"/>
      <c r="J1137" s="991"/>
      <c r="K1137" s="991"/>
      <c r="L1137" s="991"/>
      <c r="M1137" s="991"/>
      <c r="N1137" s="991"/>
      <c r="O1137" s="991"/>
      <c r="P1137" s="991"/>
      <c r="Q1137" s="991"/>
    </row>
    <row r="1138" spans="1:17" x14ac:dyDescent="0.2">
      <c r="A1138" s="262" t="str">
        <f>$A$52</f>
        <v>Data: __ Base Period _X_ Forecasted Period</v>
      </c>
    </row>
    <row r="1139" spans="1:17" x14ac:dyDescent="0.2">
      <c r="A1139" s="262" t="str">
        <f>$A$53</f>
        <v>Type of Filing: X Original _ Update _ Revised</v>
      </c>
      <c r="Q1139" s="413" t="str">
        <f>$Q$53</f>
        <v>Schedule M-2.2</v>
      </c>
    </row>
    <row r="1140" spans="1:17" x14ac:dyDescent="0.2">
      <c r="A1140" s="262" t="str">
        <f>$A$54</f>
        <v>Work Paper Reference No(s):</v>
      </c>
      <c r="Q1140" s="413" t="s">
        <v>507</v>
      </c>
    </row>
    <row r="1141" spans="1:17" x14ac:dyDescent="0.2">
      <c r="A1141" s="414" t="str">
        <f>$A$55</f>
        <v>12 Months Forecasted</v>
      </c>
      <c r="Q1141" s="413" t="str">
        <f>Witness</f>
        <v>Witness:  M. J. Bell</v>
      </c>
    </row>
    <row r="1142" spans="1:17" x14ac:dyDescent="0.2">
      <c r="A1142" s="992" t="s">
        <v>194</v>
      </c>
      <c r="B1142" s="992"/>
      <c r="C1142" s="992"/>
      <c r="D1142" s="992"/>
      <c r="E1142" s="992"/>
      <c r="F1142" s="992"/>
      <c r="G1142" s="992"/>
      <c r="H1142" s="992"/>
      <c r="I1142" s="992"/>
      <c r="J1142" s="992"/>
      <c r="K1142" s="992"/>
      <c r="L1142" s="992"/>
      <c r="M1142" s="992"/>
      <c r="N1142" s="992"/>
      <c r="O1142" s="992"/>
      <c r="P1142" s="992"/>
      <c r="Q1142" s="992"/>
    </row>
    <row r="1143" spans="1:17" x14ac:dyDescent="0.2">
      <c r="A1143" s="433"/>
      <c r="B1143" s="301"/>
      <c r="C1143" s="301"/>
      <c r="D1143" s="300"/>
      <c r="E1143" s="301"/>
      <c r="F1143" s="415"/>
      <c r="G1143" s="435"/>
      <c r="H1143" s="415"/>
      <c r="I1143" s="436"/>
      <c r="J1143" s="415"/>
      <c r="K1143" s="415"/>
      <c r="L1143" s="415"/>
      <c r="M1143" s="415"/>
      <c r="N1143" s="415"/>
      <c r="O1143" s="415"/>
      <c r="P1143" s="415"/>
      <c r="Q1143" s="301"/>
    </row>
    <row r="1144" spans="1:17" x14ac:dyDescent="0.2">
      <c r="A1144" s="410" t="s">
        <v>1</v>
      </c>
      <c r="B1144" s="224" t="s">
        <v>0</v>
      </c>
      <c r="C1144" s="224" t="s">
        <v>41</v>
      </c>
      <c r="D1144" s="416" t="s">
        <v>47</v>
      </c>
      <c r="E1144" s="224"/>
      <c r="F1144" s="417"/>
      <c r="G1144" s="418"/>
      <c r="H1144" s="417"/>
      <c r="I1144" s="419"/>
      <c r="J1144" s="417"/>
      <c r="K1144" s="417"/>
      <c r="L1144" s="417"/>
      <c r="M1144" s="417"/>
      <c r="N1144" s="417"/>
      <c r="O1144" s="417"/>
      <c r="P1144" s="417"/>
      <c r="Q1144" s="229"/>
    </row>
    <row r="1145" spans="1:17" x14ac:dyDescent="0.2">
      <c r="A1145" s="281" t="s">
        <v>3</v>
      </c>
      <c r="B1145" s="226" t="s">
        <v>40</v>
      </c>
      <c r="C1145" s="226" t="s">
        <v>4</v>
      </c>
      <c r="D1145" s="420" t="s">
        <v>48</v>
      </c>
      <c r="E1145" s="421" t="str">
        <f>B!$D$11</f>
        <v>Jan-17</v>
      </c>
      <c r="F1145" s="421" t="str">
        <f>B!$E$11</f>
        <v>Feb-17</v>
      </c>
      <c r="G1145" s="421" t="str">
        <f>B!$F$11</f>
        <v>Mar-17</v>
      </c>
      <c r="H1145" s="421" t="str">
        <f>B!$G$11</f>
        <v>Apr-17</v>
      </c>
      <c r="I1145" s="421" t="str">
        <f>B!$H$11</f>
        <v>May-17</v>
      </c>
      <c r="J1145" s="421" t="str">
        <f>B!$I$11</f>
        <v>Jun-17</v>
      </c>
      <c r="K1145" s="421" t="str">
        <f>B!$J$11</f>
        <v>Jul-17</v>
      </c>
      <c r="L1145" s="421" t="str">
        <f>B!$K$11</f>
        <v>Aug-17</v>
      </c>
      <c r="M1145" s="421" t="str">
        <f>B!$L$11</f>
        <v>Sep-17</v>
      </c>
      <c r="N1145" s="421" t="str">
        <f>B!$M$11</f>
        <v>Oct-17</v>
      </c>
      <c r="O1145" s="421" t="str">
        <f>B!$N$11</f>
        <v>Nov-17</v>
      </c>
      <c r="P1145" s="421" t="str">
        <f>B!$O$11</f>
        <v>Dec-17</v>
      </c>
      <c r="Q1145" s="422" t="s">
        <v>9</v>
      </c>
    </row>
    <row r="1146" spans="1:17" x14ac:dyDescent="0.2">
      <c r="A1146" s="410"/>
      <c r="B1146" s="229" t="s">
        <v>42</v>
      </c>
      <c r="C1146" s="229" t="s">
        <v>43</v>
      </c>
      <c r="D1146" s="423" t="s">
        <v>45</v>
      </c>
      <c r="E1146" s="424" t="s">
        <v>46</v>
      </c>
      <c r="F1146" s="424" t="s">
        <v>49</v>
      </c>
      <c r="G1146" s="424" t="s">
        <v>50</v>
      </c>
      <c r="H1146" s="424" t="s">
        <v>51</v>
      </c>
      <c r="I1146" s="424" t="s">
        <v>52</v>
      </c>
      <c r="J1146" s="424" t="s">
        <v>53</v>
      </c>
      <c r="K1146" s="425" t="s">
        <v>54</v>
      </c>
      <c r="L1146" s="425" t="s">
        <v>55</v>
      </c>
      <c r="M1146" s="425" t="s">
        <v>56</v>
      </c>
      <c r="N1146" s="425" t="s">
        <v>57</v>
      </c>
      <c r="O1146" s="425" t="s">
        <v>58</v>
      </c>
      <c r="P1146" s="425" t="s">
        <v>59</v>
      </c>
      <c r="Q1146" s="425" t="s">
        <v>203</v>
      </c>
    </row>
    <row r="1147" spans="1:17" x14ac:dyDescent="0.2">
      <c r="E1147" s="229"/>
      <c r="F1147" s="425"/>
      <c r="G1147" s="437"/>
      <c r="H1147" s="425"/>
      <c r="I1147" s="424"/>
      <c r="J1147" s="425"/>
      <c r="K1147" s="425"/>
      <c r="L1147" s="425"/>
      <c r="M1147" s="425"/>
      <c r="N1147" s="425"/>
      <c r="O1147" s="425"/>
      <c r="P1147" s="425"/>
      <c r="Q1147" s="229"/>
    </row>
    <row r="1148" spans="1:17" x14ac:dyDescent="0.2">
      <c r="A1148" s="222">
        <v>1</v>
      </c>
      <c r="B1148" s="219" t="str">
        <f>B317</f>
        <v>FX5</v>
      </c>
      <c r="C1148" s="219" t="str">
        <f>C317</f>
        <v>GTS Flex Rate - Industrial</v>
      </c>
    </row>
    <row r="1150" spans="1:17" x14ac:dyDescent="0.2">
      <c r="A1150" s="222">
        <f>A1148+1</f>
        <v>2</v>
      </c>
      <c r="C1150" s="223" t="s">
        <v>112</v>
      </c>
    </row>
    <row r="1151" spans="1:17" x14ac:dyDescent="0.2">
      <c r="C1151" s="223"/>
      <c r="I1151" s="293"/>
      <c r="J1151" s="288"/>
      <c r="K1151" s="288"/>
    </row>
    <row r="1152" spans="1:17" x14ac:dyDescent="0.2">
      <c r="A1152" s="222">
        <f>A1150+1</f>
        <v>3</v>
      </c>
      <c r="C1152" s="219" t="s">
        <v>202</v>
      </c>
      <c r="E1152" s="472">
        <f>B!D240</f>
        <v>3</v>
      </c>
      <c r="F1152" s="472">
        <f>B!E240</f>
        <v>3</v>
      </c>
      <c r="G1152" s="472">
        <f>B!F240</f>
        <v>3</v>
      </c>
      <c r="H1152" s="472">
        <f>B!G240</f>
        <v>3</v>
      </c>
      <c r="I1152" s="472">
        <f>B!H240</f>
        <v>3</v>
      </c>
      <c r="J1152" s="472">
        <f>B!I240</f>
        <v>3</v>
      </c>
      <c r="K1152" s="472">
        <f>B!J240</f>
        <v>3</v>
      </c>
      <c r="L1152" s="472">
        <f>B!K240</f>
        <v>3</v>
      </c>
      <c r="M1152" s="472">
        <f>B!L240</f>
        <v>3</v>
      </c>
      <c r="N1152" s="472">
        <f>B!M240</f>
        <v>3</v>
      </c>
      <c r="O1152" s="472">
        <f>B!N240</f>
        <v>3</v>
      </c>
      <c r="P1152" s="472">
        <f>B!O240</f>
        <v>3</v>
      </c>
      <c r="Q1152" s="473">
        <f>SUM(E1152:P1152)</f>
        <v>36</v>
      </c>
    </row>
    <row r="1153" spans="1:17" x14ac:dyDescent="0.2">
      <c r="A1153" s="222">
        <f>A1152+1</f>
        <v>4</v>
      </c>
      <c r="C1153" s="219" t="s">
        <v>210</v>
      </c>
      <c r="D1153" s="781">
        <f>Input!H51</f>
        <v>200</v>
      </c>
      <c r="E1153" s="427">
        <f t="shared" ref="E1153:P1153" si="344">ROUND(E1152*$D$1153,2)</f>
        <v>600</v>
      </c>
      <c r="F1153" s="427">
        <f t="shared" si="344"/>
        <v>600</v>
      </c>
      <c r="G1153" s="427">
        <f t="shared" si="344"/>
        <v>600</v>
      </c>
      <c r="H1153" s="427">
        <f t="shared" si="344"/>
        <v>600</v>
      </c>
      <c r="I1153" s="427">
        <f t="shared" si="344"/>
        <v>600</v>
      </c>
      <c r="J1153" s="427">
        <f t="shared" si="344"/>
        <v>600</v>
      </c>
      <c r="K1153" s="427">
        <f t="shared" si="344"/>
        <v>600</v>
      </c>
      <c r="L1153" s="427">
        <f t="shared" si="344"/>
        <v>600</v>
      </c>
      <c r="M1153" s="427">
        <f t="shared" si="344"/>
        <v>600</v>
      </c>
      <c r="N1153" s="427">
        <f t="shared" si="344"/>
        <v>600</v>
      </c>
      <c r="O1153" s="427">
        <f t="shared" si="344"/>
        <v>600</v>
      </c>
      <c r="P1153" s="427">
        <f t="shared" si="344"/>
        <v>600</v>
      </c>
      <c r="Q1153" s="427">
        <f>SUM(E1153:P1153)</f>
        <v>7200</v>
      </c>
    </row>
    <row r="1154" spans="1:17" x14ac:dyDescent="0.2">
      <c r="A1154" s="222">
        <f>A1153+1</f>
        <v>5</v>
      </c>
      <c r="C1154" s="219" t="s">
        <v>217</v>
      </c>
      <c r="D1154" s="781">
        <f>Input!I51</f>
        <v>55.9</v>
      </c>
      <c r="E1154" s="427">
        <f t="shared" ref="E1154:P1154" si="345">ROUND(E1152*$D$1154,2)</f>
        <v>167.7</v>
      </c>
      <c r="F1154" s="427">
        <f t="shared" si="345"/>
        <v>167.7</v>
      </c>
      <c r="G1154" s="427">
        <f t="shared" si="345"/>
        <v>167.7</v>
      </c>
      <c r="H1154" s="427">
        <f t="shared" si="345"/>
        <v>167.7</v>
      </c>
      <c r="I1154" s="427">
        <f t="shared" si="345"/>
        <v>167.7</v>
      </c>
      <c r="J1154" s="427">
        <f t="shared" si="345"/>
        <v>167.7</v>
      </c>
      <c r="K1154" s="427">
        <f t="shared" si="345"/>
        <v>167.7</v>
      </c>
      <c r="L1154" s="427">
        <f t="shared" si="345"/>
        <v>167.7</v>
      </c>
      <c r="M1154" s="427">
        <f t="shared" si="345"/>
        <v>167.7</v>
      </c>
      <c r="N1154" s="427">
        <f t="shared" si="345"/>
        <v>167.7</v>
      </c>
      <c r="O1154" s="427">
        <f t="shared" si="345"/>
        <v>167.7</v>
      </c>
      <c r="P1154" s="427">
        <f t="shared" si="345"/>
        <v>167.7</v>
      </c>
      <c r="Q1154" s="427">
        <f>SUM(E1154:P1154)</f>
        <v>2012.4000000000003</v>
      </c>
    </row>
    <row r="1155" spans="1:17" x14ac:dyDescent="0.2">
      <c r="D1155" s="286"/>
      <c r="E1155" s="222"/>
      <c r="F1155" s="288"/>
      <c r="G1155" s="469"/>
      <c r="H1155" s="288"/>
      <c r="I1155" s="293"/>
      <c r="J1155" s="288"/>
      <c r="K1155" s="288"/>
    </row>
    <row r="1156" spans="1:17" x14ac:dyDescent="0.2">
      <c r="A1156" s="222">
        <f>A1154+1</f>
        <v>6</v>
      </c>
      <c r="C1156" s="219" t="s">
        <v>209</v>
      </c>
      <c r="D1156" s="286"/>
      <c r="E1156" s="293">
        <f>'C'!D360</f>
        <v>411738</v>
      </c>
      <c r="F1156" s="293">
        <f>'C'!E360</f>
        <v>369684</v>
      </c>
      <c r="G1156" s="293">
        <f>'C'!F360</f>
        <v>397068</v>
      </c>
      <c r="H1156" s="293">
        <f>'C'!G360</f>
        <v>381420</v>
      </c>
      <c r="I1156" s="293">
        <f>'C'!H360</f>
        <v>392178</v>
      </c>
      <c r="J1156" s="293">
        <f>'C'!I360</f>
        <v>381420</v>
      </c>
      <c r="K1156" s="293">
        <f>'C'!J360</f>
        <v>392178</v>
      </c>
      <c r="L1156" s="293">
        <f>'C'!K360</f>
        <v>392178</v>
      </c>
      <c r="M1156" s="293">
        <f>'C'!L360</f>
        <v>381420</v>
      </c>
      <c r="N1156" s="293">
        <f>'C'!M360</f>
        <v>397068</v>
      </c>
      <c r="O1156" s="293">
        <f>'C'!N360</f>
        <v>391200</v>
      </c>
      <c r="P1156" s="293">
        <f>'C'!O360</f>
        <v>401958</v>
      </c>
      <c r="Q1156" s="245">
        <f>SUM(E1156:P1156)</f>
        <v>4689510</v>
      </c>
    </row>
    <row r="1157" spans="1:17" x14ac:dyDescent="0.2">
      <c r="A1157" s="222">
        <f>A1156+1</f>
        <v>7</v>
      </c>
      <c r="C1157" s="240" t="s">
        <v>207</v>
      </c>
      <c r="D1157" s="782">
        <f>Input!C51</f>
        <v>8.5800000000000001E-2</v>
      </c>
      <c r="E1157" s="427">
        <f t="shared" ref="E1157:P1157" si="346">ROUND(E1156*$D$1157,2)</f>
        <v>35327.120000000003</v>
      </c>
      <c r="F1157" s="427">
        <f t="shared" si="346"/>
        <v>31718.89</v>
      </c>
      <c r="G1157" s="427">
        <f t="shared" si="346"/>
        <v>34068.43</v>
      </c>
      <c r="H1157" s="427">
        <f t="shared" si="346"/>
        <v>32725.84</v>
      </c>
      <c r="I1157" s="427">
        <f t="shared" si="346"/>
        <v>33648.870000000003</v>
      </c>
      <c r="J1157" s="427">
        <f t="shared" si="346"/>
        <v>32725.84</v>
      </c>
      <c r="K1157" s="427">
        <f t="shared" si="346"/>
        <v>33648.870000000003</v>
      </c>
      <c r="L1157" s="427">
        <f t="shared" si="346"/>
        <v>33648.870000000003</v>
      </c>
      <c r="M1157" s="427">
        <f t="shared" si="346"/>
        <v>32725.84</v>
      </c>
      <c r="N1157" s="427">
        <f t="shared" si="346"/>
        <v>34068.43</v>
      </c>
      <c r="O1157" s="427">
        <f t="shared" si="346"/>
        <v>33564.959999999999</v>
      </c>
      <c r="P1157" s="427">
        <f t="shared" si="346"/>
        <v>34488</v>
      </c>
      <c r="Q1157" s="427">
        <f>SUM(E1157:P1157)</f>
        <v>402359.96</v>
      </c>
    </row>
    <row r="1158" spans="1:17" x14ac:dyDescent="0.2">
      <c r="C1158" s="240"/>
      <c r="D1158" s="286"/>
      <c r="E1158" s="466"/>
      <c r="F1158" s="466"/>
      <c r="G1158" s="466"/>
      <c r="H1158" s="466"/>
      <c r="I1158" s="466"/>
      <c r="J1158" s="466"/>
      <c r="K1158" s="466"/>
      <c r="L1158" s="459"/>
      <c r="M1158" s="459"/>
      <c r="N1158" s="459"/>
      <c r="O1158" s="459"/>
      <c r="P1158" s="459"/>
      <c r="Q1158" s="484"/>
    </row>
    <row r="1159" spans="1:17" x14ac:dyDescent="0.2">
      <c r="A1159" s="222">
        <f>A1157+1</f>
        <v>8</v>
      </c>
      <c r="C1159" s="240" t="s">
        <v>204</v>
      </c>
      <c r="D1159" s="286"/>
      <c r="E1159" s="427">
        <f t="shared" ref="E1159:O1159" si="347">E1153+E1154+E1157</f>
        <v>36094.82</v>
      </c>
      <c r="F1159" s="427">
        <f t="shared" si="347"/>
        <v>32486.59</v>
      </c>
      <c r="G1159" s="427">
        <f t="shared" si="347"/>
        <v>34836.129999999997</v>
      </c>
      <c r="H1159" s="427">
        <f t="shared" si="347"/>
        <v>33493.54</v>
      </c>
      <c r="I1159" s="427">
        <f t="shared" si="347"/>
        <v>34416.57</v>
      </c>
      <c r="J1159" s="427">
        <f t="shared" si="347"/>
        <v>33493.54</v>
      </c>
      <c r="K1159" s="427">
        <f t="shared" si="347"/>
        <v>34416.57</v>
      </c>
      <c r="L1159" s="427">
        <f t="shared" si="347"/>
        <v>34416.57</v>
      </c>
      <c r="M1159" s="427">
        <f t="shared" si="347"/>
        <v>33493.54</v>
      </c>
      <c r="N1159" s="427">
        <f t="shared" si="347"/>
        <v>34836.129999999997</v>
      </c>
      <c r="O1159" s="427">
        <f t="shared" si="347"/>
        <v>34332.659999999996</v>
      </c>
      <c r="P1159" s="427">
        <f>P1153+P1154+P1157</f>
        <v>35255.699999999997</v>
      </c>
      <c r="Q1159" s="427">
        <f>SUM(E1159:P1159)</f>
        <v>411572.36</v>
      </c>
    </row>
    <row r="1160" spans="1:17" x14ac:dyDescent="0.2">
      <c r="C1160" s="240"/>
      <c r="D1160" s="286"/>
      <c r="E1160" s="466"/>
      <c r="F1160" s="466"/>
      <c r="G1160" s="466"/>
      <c r="H1160" s="466"/>
      <c r="I1160" s="466"/>
      <c r="J1160" s="466"/>
      <c r="K1160" s="466"/>
      <c r="L1160" s="459"/>
      <c r="M1160" s="459"/>
      <c r="N1160" s="459"/>
      <c r="O1160" s="459"/>
      <c r="P1160" s="459"/>
      <c r="Q1160" s="484"/>
    </row>
    <row r="1161" spans="1:17" x14ac:dyDescent="0.2">
      <c r="A1161" s="222">
        <f>A1159+1</f>
        <v>9</v>
      </c>
      <c r="C1161" s="219" t="s">
        <v>151</v>
      </c>
      <c r="D1161" s="783">
        <v>0</v>
      </c>
      <c r="E1161" s="510">
        <v>0</v>
      </c>
      <c r="F1161" s="510">
        <v>0</v>
      </c>
      <c r="G1161" s="510">
        <v>0</v>
      </c>
      <c r="H1161" s="510">
        <v>0</v>
      </c>
      <c r="I1161" s="510">
        <v>0</v>
      </c>
      <c r="J1161" s="510">
        <v>0</v>
      </c>
      <c r="K1161" s="510">
        <v>0</v>
      </c>
      <c r="L1161" s="510">
        <v>0</v>
      </c>
      <c r="M1161" s="510">
        <v>0</v>
      </c>
      <c r="N1161" s="510">
        <v>0</v>
      </c>
      <c r="O1161" s="510">
        <v>0</v>
      </c>
      <c r="P1161" s="510">
        <v>0</v>
      </c>
      <c r="Q1161" s="427">
        <f>SUM(E1161:P1161)</f>
        <v>0</v>
      </c>
    </row>
    <row r="1162" spans="1:17" x14ac:dyDescent="0.2">
      <c r="D1162" s="286"/>
      <c r="E1162" s="466"/>
      <c r="F1162" s="466"/>
      <c r="G1162" s="466"/>
      <c r="H1162" s="466"/>
      <c r="I1162" s="466"/>
      <c r="J1162" s="466"/>
      <c r="K1162" s="466"/>
      <c r="L1162" s="466"/>
      <c r="M1162" s="466"/>
      <c r="N1162" s="466"/>
      <c r="O1162" s="466"/>
      <c r="P1162" s="466"/>
      <c r="Q1162" s="459"/>
    </row>
    <row r="1163" spans="1:17" ht="10.8" thickBot="1" x14ac:dyDescent="0.25">
      <c r="A1163" s="488">
        <f>A1161+1</f>
        <v>10</v>
      </c>
      <c r="B1163" s="489"/>
      <c r="C1163" s="489" t="s">
        <v>205</v>
      </c>
      <c r="D1163" s="490"/>
      <c r="E1163" s="492">
        <f t="shared" ref="E1163:O1163" si="348">E1159+E1161</f>
        <v>36094.82</v>
      </c>
      <c r="F1163" s="492">
        <f t="shared" si="348"/>
        <v>32486.59</v>
      </c>
      <c r="G1163" s="492">
        <f t="shared" si="348"/>
        <v>34836.129999999997</v>
      </c>
      <c r="H1163" s="492">
        <f t="shared" si="348"/>
        <v>33493.54</v>
      </c>
      <c r="I1163" s="492">
        <f t="shared" si="348"/>
        <v>34416.57</v>
      </c>
      <c r="J1163" s="492">
        <f t="shared" si="348"/>
        <v>33493.54</v>
      </c>
      <c r="K1163" s="492">
        <f t="shared" si="348"/>
        <v>34416.57</v>
      </c>
      <c r="L1163" s="492">
        <f t="shared" si="348"/>
        <v>34416.57</v>
      </c>
      <c r="M1163" s="492">
        <f t="shared" si="348"/>
        <v>33493.54</v>
      </c>
      <c r="N1163" s="492">
        <f t="shared" si="348"/>
        <v>34836.129999999997</v>
      </c>
      <c r="O1163" s="492">
        <f t="shared" si="348"/>
        <v>34332.659999999996</v>
      </c>
      <c r="P1163" s="492">
        <f>P1159+P1161</f>
        <v>35255.699999999997</v>
      </c>
      <c r="Q1163" s="492">
        <f>SUM(E1163:P1163)</f>
        <v>411572.36</v>
      </c>
    </row>
    <row r="1164" spans="1:17" ht="10.8" thickTop="1" x14ac:dyDescent="0.2">
      <c r="Q1164" s="412"/>
    </row>
    <row r="1165" spans="1:17" x14ac:dyDescent="0.2">
      <c r="Q1165" s="412"/>
    </row>
    <row r="1166" spans="1:17" x14ac:dyDescent="0.2">
      <c r="A1166" s="222">
        <f>A1163+1</f>
        <v>11</v>
      </c>
      <c r="B1166" s="219" t="str">
        <f>B324</f>
        <v>FX7</v>
      </c>
      <c r="C1166" s="219" t="str">
        <f>C324</f>
        <v>GTS Flex Rate - Industrial</v>
      </c>
    </row>
    <row r="1168" spans="1:17" x14ac:dyDescent="0.2">
      <c r="A1168" s="222">
        <f>A1166+1</f>
        <v>12</v>
      </c>
      <c r="C1168" s="223" t="s">
        <v>112</v>
      </c>
    </row>
    <row r="1169" spans="1:17" x14ac:dyDescent="0.2">
      <c r="C1169" s="223"/>
    </row>
    <row r="1170" spans="1:17" x14ac:dyDescent="0.2">
      <c r="A1170" s="222">
        <f>A1168+1</f>
        <v>13</v>
      </c>
      <c r="C1170" s="219" t="s">
        <v>202</v>
      </c>
      <c r="E1170" s="472">
        <f>B!D246</f>
        <v>1</v>
      </c>
      <c r="F1170" s="472">
        <f>B!E246</f>
        <v>1</v>
      </c>
      <c r="G1170" s="472">
        <f>B!F246</f>
        <v>1</v>
      </c>
      <c r="H1170" s="472">
        <f>B!G246</f>
        <v>1</v>
      </c>
      <c r="I1170" s="472">
        <f>B!H246</f>
        <v>1</v>
      </c>
      <c r="J1170" s="472">
        <f>B!I246</f>
        <v>1</v>
      </c>
      <c r="K1170" s="472">
        <f>B!J246</f>
        <v>1</v>
      </c>
      <c r="L1170" s="472">
        <f>B!K246</f>
        <v>1</v>
      </c>
      <c r="M1170" s="472">
        <f>B!L246</f>
        <v>1</v>
      </c>
      <c r="N1170" s="472">
        <f>B!M246</f>
        <v>1</v>
      </c>
      <c r="O1170" s="472">
        <f>B!N246</f>
        <v>1</v>
      </c>
      <c r="P1170" s="472">
        <f>B!O246</f>
        <v>1</v>
      </c>
      <c r="Q1170" s="473">
        <f>SUM(E1170:P1170)</f>
        <v>12</v>
      </c>
    </row>
    <row r="1171" spans="1:17" x14ac:dyDescent="0.2">
      <c r="A1171" s="222">
        <f>A1170+1</f>
        <v>14</v>
      </c>
      <c r="C1171" s="219" t="s">
        <v>210</v>
      </c>
      <c r="D1171" s="781">
        <f>Input!H52</f>
        <v>1007.05</v>
      </c>
      <c r="E1171" s="427">
        <f t="shared" ref="E1171:P1171" si="349">ROUND(E1170*$D$1171,2)</f>
        <v>1007.05</v>
      </c>
      <c r="F1171" s="427">
        <f t="shared" si="349"/>
        <v>1007.05</v>
      </c>
      <c r="G1171" s="427">
        <f t="shared" si="349"/>
        <v>1007.05</v>
      </c>
      <c r="H1171" s="427">
        <f t="shared" si="349"/>
        <v>1007.05</v>
      </c>
      <c r="I1171" s="427">
        <f t="shared" si="349"/>
        <v>1007.05</v>
      </c>
      <c r="J1171" s="427">
        <f t="shared" si="349"/>
        <v>1007.05</v>
      </c>
      <c r="K1171" s="427">
        <f t="shared" si="349"/>
        <v>1007.05</v>
      </c>
      <c r="L1171" s="427">
        <f t="shared" si="349"/>
        <v>1007.05</v>
      </c>
      <c r="M1171" s="427">
        <f t="shared" si="349"/>
        <v>1007.05</v>
      </c>
      <c r="N1171" s="427">
        <f t="shared" si="349"/>
        <v>1007.05</v>
      </c>
      <c r="O1171" s="427">
        <f t="shared" si="349"/>
        <v>1007.05</v>
      </c>
      <c r="P1171" s="427">
        <f t="shared" si="349"/>
        <v>1007.05</v>
      </c>
      <c r="Q1171" s="427">
        <f>SUM(E1171:P1171)</f>
        <v>12084.599999999999</v>
      </c>
    </row>
    <row r="1172" spans="1:17" x14ac:dyDescent="0.2">
      <c r="A1172" s="222">
        <f>A1171+1</f>
        <v>15</v>
      </c>
      <c r="C1172" s="219" t="s">
        <v>217</v>
      </c>
      <c r="D1172" s="781">
        <f>Input!I52</f>
        <v>55.9</v>
      </c>
      <c r="E1172" s="427">
        <f t="shared" ref="E1172:P1172" si="350">ROUND(E1170*$D$1172,2)</f>
        <v>55.9</v>
      </c>
      <c r="F1172" s="427">
        <f t="shared" si="350"/>
        <v>55.9</v>
      </c>
      <c r="G1172" s="427">
        <f t="shared" si="350"/>
        <v>55.9</v>
      </c>
      <c r="H1172" s="427">
        <f t="shared" si="350"/>
        <v>55.9</v>
      </c>
      <c r="I1172" s="427">
        <f t="shared" si="350"/>
        <v>55.9</v>
      </c>
      <c r="J1172" s="427">
        <f t="shared" si="350"/>
        <v>55.9</v>
      </c>
      <c r="K1172" s="427">
        <f t="shared" si="350"/>
        <v>55.9</v>
      </c>
      <c r="L1172" s="427">
        <f t="shared" si="350"/>
        <v>55.9</v>
      </c>
      <c r="M1172" s="427">
        <f t="shared" si="350"/>
        <v>55.9</v>
      </c>
      <c r="N1172" s="427">
        <f t="shared" si="350"/>
        <v>55.9</v>
      </c>
      <c r="O1172" s="427">
        <f t="shared" si="350"/>
        <v>55.9</v>
      </c>
      <c r="P1172" s="427">
        <f t="shared" si="350"/>
        <v>55.9</v>
      </c>
      <c r="Q1172" s="427">
        <f>SUM(E1172:P1172)</f>
        <v>670.79999999999984</v>
      </c>
    </row>
    <row r="1173" spans="1:17" x14ac:dyDescent="0.2">
      <c r="D1173" s="286"/>
      <c r="E1173" s="222"/>
      <c r="F1173" s="288"/>
      <c r="G1173" s="469"/>
      <c r="H1173" s="288"/>
      <c r="I1173" s="293"/>
      <c r="J1173" s="507"/>
      <c r="K1173" s="288"/>
      <c r="L1173" s="288"/>
      <c r="M1173" s="288"/>
    </row>
    <row r="1174" spans="1:17" x14ac:dyDescent="0.2">
      <c r="A1174" s="222">
        <f>A1172+1</f>
        <v>16</v>
      </c>
      <c r="C1174" s="219" t="s">
        <v>209</v>
      </c>
      <c r="D1174" s="286"/>
      <c r="E1174" s="514"/>
      <c r="F1174" s="288"/>
      <c r="G1174" s="469"/>
      <c r="H1174" s="288"/>
      <c r="I1174" s="293"/>
      <c r="J1174" s="507"/>
      <c r="K1174" s="288"/>
      <c r="L1174" s="288"/>
      <c r="M1174" s="288"/>
    </row>
    <row r="1175" spans="1:17" x14ac:dyDescent="0.2">
      <c r="A1175" s="222">
        <f>A1174+1</f>
        <v>17</v>
      </c>
      <c r="C1175" s="240" t="str">
        <f>'C'!B364</f>
        <v xml:space="preserve">    First 25,000 Mcf</v>
      </c>
      <c r="D1175" s="782"/>
      <c r="E1175" s="293">
        <f>'C'!D372</f>
        <v>25000</v>
      </c>
      <c r="F1175" s="293">
        <f>'C'!E372</f>
        <v>25000</v>
      </c>
      <c r="G1175" s="293">
        <f>'C'!F372</f>
        <v>25000</v>
      </c>
      <c r="H1175" s="293">
        <f>'C'!G372</f>
        <v>25000</v>
      </c>
      <c r="I1175" s="293">
        <f>'C'!H372</f>
        <v>25000</v>
      </c>
      <c r="J1175" s="293">
        <f>'C'!I372</f>
        <v>25000</v>
      </c>
      <c r="K1175" s="293">
        <f>'C'!J372</f>
        <v>25000</v>
      </c>
      <c r="L1175" s="293">
        <f>'C'!K372</f>
        <v>25000</v>
      </c>
      <c r="M1175" s="293">
        <f>'C'!L372</f>
        <v>25000</v>
      </c>
      <c r="N1175" s="293">
        <f>'C'!M372</f>
        <v>25000</v>
      </c>
      <c r="O1175" s="293">
        <f>'C'!N372</f>
        <v>25000</v>
      </c>
      <c r="P1175" s="293">
        <f>'C'!O372</f>
        <v>25000</v>
      </c>
      <c r="Q1175" s="245">
        <f>SUM(E1175:P1175)</f>
        <v>300000</v>
      </c>
    </row>
    <row r="1176" spans="1:17" x14ac:dyDescent="0.2">
      <c r="A1176" s="222">
        <f>A1175+1</f>
        <v>18</v>
      </c>
      <c r="C1176" s="240" t="str">
        <f>'C'!B365</f>
        <v xml:space="preserve">    Over 25,000 Mcf</v>
      </c>
      <c r="D1176" s="222"/>
      <c r="E1176" s="515">
        <f>'C'!D373</f>
        <v>19077</v>
      </c>
      <c r="F1176" s="515">
        <f>'C'!E373</f>
        <v>1389</v>
      </c>
      <c r="G1176" s="515">
        <f>'C'!F373</f>
        <v>5000</v>
      </c>
      <c r="H1176" s="515">
        <f>'C'!G373</f>
        <v>5000</v>
      </c>
      <c r="I1176" s="515">
        <f>'C'!H373</f>
        <v>5000</v>
      </c>
      <c r="J1176" s="515">
        <f>'C'!I373</f>
        <v>5000</v>
      </c>
      <c r="K1176" s="515">
        <f>'C'!J373</f>
        <v>5000</v>
      </c>
      <c r="L1176" s="515">
        <f>'C'!K373</f>
        <v>5000</v>
      </c>
      <c r="M1176" s="515">
        <f>'C'!L373</f>
        <v>20000</v>
      </c>
      <c r="N1176" s="515">
        <f>'C'!M373</f>
        <v>20000</v>
      </c>
      <c r="O1176" s="515">
        <f>'C'!N373</f>
        <v>14555</v>
      </c>
      <c r="P1176" s="515">
        <f>'C'!O373</f>
        <v>14979</v>
      </c>
      <c r="Q1176" s="464">
        <f>SUM(E1176:P1176)</f>
        <v>120000</v>
      </c>
    </row>
    <row r="1177" spans="1:17" x14ac:dyDescent="0.2">
      <c r="C1177" s="240"/>
      <c r="D1177" s="295"/>
      <c r="E1177" s="293">
        <f t="shared" ref="E1177:O1177" si="351">SUM(E1175:E1176)</f>
        <v>44077</v>
      </c>
      <c r="F1177" s="293">
        <f t="shared" si="351"/>
        <v>26389</v>
      </c>
      <c r="G1177" s="293">
        <f t="shared" si="351"/>
        <v>30000</v>
      </c>
      <c r="H1177" s="293">
        <f t="shared" si="351"/>
        <v>30000</v>
      </c>
      <c r="I1177" s="293">
        <f t="shared" si="351"/>
        <v>30000</v>
      </c>
      <c r="J1177" s="293">
        <f t="shared" si="351"/>
        <v>30000</v>
      </c>
      <c r="K1177" s="293">
        <f t="shared" si="351"/>
        <v>30000</v>
      </c>
      <c r="L1177" s="293">
        <f t="shared" si="351"/>
        <v>30000</v>
      </c>
      <c r="M1177" s="293">
        <f t="shared" si="351"/>
        <v>45000</v>
      </c>
      <c r="N1177" s="293">
        <f t="shared" si="351"/>
        <v>45000</v>
      </c>
      <c r="O1177" s="293">
        <f t="shared" si="351"/>
        <v>39555</v>
      </c>
      <c r="P1177" s="293">
        <f>SUM(P1175:P1176)</f>
        <v>39979</v>
      </c>
      <c r="Q1177" s="245">
        <f>SUM(E1177:P1177)</f>
        <v>420000</v>
      </c>
    </row>
    <row r="1178" spans="1:17" x14ac:dyDescent="0.2">
      <c r="A1178" s="222">
        <f>A1176+1</f>
        <v>19</v>
      </c>
      <c r="C1178" s="240" t="s">
        <v>207</v>
      </c>
      <c r="D1178" s="512"/>
      <c r="E1178" s="295"/>
      <c r="F1178" s="535"/>
      <c r="G1178" s="536"/>
      <c r="H1178" s="535"/>
      <c r="I1178" s="515"/>
      <c r="J1178" s="537"/>
      <c r="K1178" s="535"/>
      <c r="L1178" s="535"/>
      <c r="M1178" s="535"/>
      <c r="N1178" s="463"/>
      <c r="O1178" s="463"/>
      <c r="P1178" s="463"/>
      <c r="Q1178" s="412"/>
    </row>
    <row r="1179" spans="1:17" x14ac:dyDescent="0.2">
      <c r="A1179" s="222">
        <f>A1178+1</f>
        <v>20</v>
      </c>
      <c r="C1179" s="240" t="str">
        <f>C1175</f>
        <v xml:space="preserve">    First 25,000 Mcf</v>
      </c>
      <c r="D1179" s="782">
        <f>Input!C52</f>
        <v>0.49</v>
      </c>
      <c r="E1179" s="427">
        <f t="shared" ref="E1179:P1179" si="352">ROUND(E1175*$D$1179,2)</f>
        <v>12250</v>
      </c>
      <c r="F1179" s="427">
        <f t="shared" si="352"/>
        <v>12250</v>
      </c>
      <c r="G1179" s="427">
        <f t="shared" si="352"/>
        <v>12250</v>
      </c>
      <c r="H1179" s="427">
        <f t="shared" si="352"/>
        <v>12250</v>
      </c>
      <c r="I1179" s="427">
        <f t="shared" si="352"/>
        <v>12250</v>
      </c>
      <c r="J1179" s="427">
        <f t="shared" si="352"/>
        <v>12250</v>
      </c>
      <c r="K1179" s="427">
        <f t="shared" si="352"/>
        <v>12250</v>
      </c>
      <c r="L1179" s="427">
        <f t="shared" si="352"/>
        <v>12250</v>
      </c>
      <c r="M1179" s="427">
        <f t="shared" si="352"/>
        <v>12250</v>
      </c>
      <c r="N1179" s="427">
        <f t="shared" si="352"/>
        <v>12250</v>
      </c>
      <c r="O1179" s="427">
        <f t="shared" si="352"/>
        <v>12250</v>
      </c>
      <c r="P1179" s="427">
        <f t="shared" si="352"/>
        <v>12250</v>
      </c>
      <c r="Q1179" s="427">
        <f>SUM(E1179:P1179)</f>
        <v>147000</v>
      </c>
    </row>
    <row r="1180" spans="1:17" x14ac:dyDescent="0.2">
      <c r="A1180" s="222">
        <f>A1179+1</f>
        <v>21</v>
      </c>
      <c r="C1180" s="240" t="str">
        <f>C1176</f>
        <v xml:space="preserve">    Over 25,000 Mcf</v>
      </c>
      <c r="D1180" s="782">
        <f>Input!D52</f>
        <v>0.27</v>
      </c>
      <c r="E1180" s="273">
        <f t="shared" ref="E1180:P1180" si="353">ROUND(E1176*$D$1180,2)</f>
        <v>5150.79</v>
      </c>
      <c r="F1180" s="273">
        <f t="shared" si="353"/>
        <v>375.03</v>
      </c>
      <c r="G1180" s="273">
        <f t="shared" si="353"/>
        <v>1350</v>
      </c>
      <c r="H1180" s="273">
        <f t="shared" si="353"/>
        <v>1350</v>
      </c>
      <c r="I1180" s="273">
        <f t="shared" si="353"/>
        <v>1350</v>
      </c>
      <c r="J1180" s="273">
        <f t="shared" si="353"/>
        <v>1350</v>
      </c>
      <c r="K1180" s="273">
        <f t="shared" si="353"/>
        <v>1350</v>
      </c>
      <c r="L1180" s="273">
        <f t="shared" si="353"/>
        <v>1350</v>
      </c>
      <c r="M1180" s="273">
        <f t="shared" si="353"/>
        <v>5400</v>
      </c>
      <c r="N1180" s="273">
        <f t="shared" si="353"/>
        <v>5400</v>
      </c>
      <c r="O1180" s="273">
        <f t="shared" si="353"/>
        <v>3929.85</v>
      </c>
      <c r="P1180" s="273">
        <f t="shared" si="353"/>
        <v>4044.33</v>
      </c>
      <c r="Q1180" s="431">
        <f>SUM(E1180:P1180)</f>
        <v>32400</v>
      </c>
    </row>
    <row r="1181" spans="1:17" x14ac:dyDescent="0.2">
      <c r="C1181" s="240"/>
      <c r="D1181" s="512"/>
      <c r="E1181" s="427">
        <f t="shared" ref="E1181:O1181" si="354">SUM(E1179:E1180)</f>
        <v>17400.79</v>
      </c>
      <c r="F1181" s="427">
        <f t="shared" si="354"/>
        <v>12625.03</v>
      </c>
      <c r="G1181" s="427">
        <f t="shared" si="354"/>
        <v>13600</v>
      </c>
      <c r="H1181" s="427">
        <f t="shared" si="354"/>
        <v>13600</v>
      </c>
      <c r="I1181" s="427">
        <f t="shared" si="354"/>
        <v>13600</v>
      </c>
      <c r="J1181" s="427">
        <f t="shared" si="354"/>
        <v>13600</v>
      </c>
      <c r="K1181" s="427">
        <f t="shared" si="354"/>
        <v>13600</v>
      </c>
      <c r="L1181" s="427">
        <f t="shared" si="354"/>
        <v>13600</v>
      </c>
      <c r="M1181" s="427">
        <f t="shared" si="354"/>
        <v>17650</v>
      </c>
      <c r="N1181" s="427">
        <f t="shared" si="354"/>
        <v>17650</v>
      </c>
      <c r="O1181" s="427">
        <f t="shared" si="354"/>
        <v>16179.85</v>
      </c>
      <c r="P1181" s="427">
        <f>SUM(P1179:P1180)</f>
        <v>16294.33</v>
      </c>
      <c r="Q1181" s="427">
        <f>SUM(E1181:P1181)</f>
        <v>179400</v>
      </c>
    </row>
    <row r="1182" spans="1:17" x14ac:dyDescent="0.2">
      <c r="C1182" s="240"/>
      <c r="D1182" s="512"/>
      <c r="E1182" s="466"/>
      <c r="F1182" s="538"/>
      <c r="G1182" s="538"/>
      <c r="H1182" s="538"/>
      <c r="I1182" s="538"/>
      <c r="J1182" s="533"/>
      <c r="K1182" s="538"/>
      <c r="L1182" s="538"/>
      <c r="M1182" s="538"/>
      <c r="N1182" s="484"/>
      <c r="O1182" s="484"/>
      <c r="P1182" s="484"/>
      <c r="Q1182" s="459"/>
    </row>
    <row r="1183" spans="1:17" x14ac:dyDescent="0.2">
      <c r="A1183" s="222">
        <f>A1180+1</f>
        <v>22</v>
      </c>
      <c r="C1183" s="240" t="s">
        <v>204</v>
      </c>
      <c r="D1183" s="512"/>
      <c r="E1183" s="427">
        <f t="shared" ref="E1183:O1183" si="355">E1171+E1172+E1181</f>
        <v>18463.740000000002</v>
      </c>
      <c r="F1183" s="427">
        <f t="shared" si="355"/>
        <v>13687.980000000001</v>
      </c>
      <c r="G1183" s="427">
        <f t="shared" si="355"/>
        <v>14662.95</v>
      </c>
      <c r="H1183" s="427">
        <f t="shared" si="355"/>
        <v>14662.95</v>
      </c>
      <c r="I1183" s="427">
        <f t="shared" si="355"/>
        <v>14662.95</v>
      </c>
      <c r="J1183" s="427">
        <f t="shared" si="355"/>
        <v>14662.95</v>
      </c>
      <c r="K1183" s="427">
        <f t="shared" si="355"/>
        <v>14662.95</v>
      </c>
      <c r="L1183" s="427">
        <f t="shared" si="355"/>
        <v>14662.95</v>
      </c>
      <c r="M1183" s="427">
        <f t="shared" si="355"/>
        <v>18712.95</v>
      </c>
      <c r="N1183" s="427">
        <f t="shared" si="355"/>
        <v>18712.95</v>
      </c>
      <c r="O1183" s="427">
        <f t="shared" si="355"/>
        <v>17242.8</v>
      </c>
      <c r="P1183" s="427">
        <f>P1171+P1172+P1181</f>
        <v>17357.28</v>
      </c>
      <c r="Q1183" s="427">
        <f>SUM(E1183:P1183)</f>
        <v>192155.4</v>
      </c>
    </row>
    <row r="1184" spans="1:17" x14ac:dyDescent="0.2">
      <c r="C1184" s="240"/>
      <c r="D1184" s="222"/>
      <c r="E1184" s="466"/>
      <c r="F1184" s="538"/>
      <c r="G1184" s="538"/>
      <c r="H1184" s="538"/>
      <c r="I1184" s="538"/>
      <c r="J1184" s="533"/>
      <c r="K1184" s="538"/>
      <c r="L1184" s="538"/>
      <c r="M1184" s="538"/>
      <c r="N1184" s="484"/>
      <c r="O1184" s="484"/>
      <c r="P1184" s="484"/>
      <c r="Q1184" s="459"/>
    </row>
    <row r="1185" spans="1:17" x14ac:dyDescent="0.2">
      <c r="A1185" s="222">
        <f>A1183+1</f>
        <v>23</v>
      </c>
      <c r="C1185" s="219" t="s">
        <v>151</v>
      </c>
      <c r="D1185" s="783">
        <v>0</v>
      </c>
      <c r="E1185" s="510">
        <v>0</v>
      </c>
      <c r="F1185" s="510">
        <v>0</v>
      </c>
      <c r="G1185" s="510">
        <v>0</v>
      </c>
      <c r="H1185" s="510">
        <v>0</v>
      </c>
      <c r="I1185" s="510">
        <v>0</v>
      </c>
      <c r="J1185" s="510">
        <v>0</v>
      </c>
      <c r="K1185" s="510">
        <v>0</v>
      </c>
      <c r="L1185" s="510">
        <v>0</v>
      </c>
      <c r="M1185" s="510">
        <v>0</v>
      </c>
      <c r="N1185" s="510">
        <v>0</v>
      </c>
      <c r="O1185" s="510">
        <v>0</v>
      </c>
      <c r="P1185" s="510">
        <v>0</v>
      </c>
      <c r="Q1185" s="427">
        <f>SUM(E1185:P1185)</f>
        <v>0</v>
      </c>
    </row>
    <row r="1186" spans="1:17" x14ac:dyDescent="0.2">
      <c r="D1186" s="286"/>
      <c r="E1186" s="466"/>
      <c r="F1186" s="466"/>
      <c r="G1186" s="466"/>
      <c r="H1186" s="466"/>
      <c r="I1186" s="466"/>
      <c r="J1186" s="466"/>
      <c r="K1186" s="466"/>
      <c r="L1186" s="466"/>
      <c r="M1186" s="466"/>
      <c r="N1186" s="466"/>
      <c r="O1186" s="466"/>
      <c r="P1186" s="466"/>
      <c r="Q1186" s="459"/>
    </row>
    <row r="1187" spans="1:17" ht="10.8" thickBot="1" x14ac:dyDescent="0.25">
      <c r="A1187" s="488">
        <f>A1185+1</f>
        <v>24</v>
      </c>
      <c r="B1187" s="489"/>
      <c r="C1187" s="489" t="s">
        <v>205</v>
      </c>
      <c r="D1187" s="490"/>
      <c r="E1187" s="492">
        <f t="shared" ref="E1187:O1187" si="356">E1183+E1185</f>
        <v>18463.740000000002</v>
      </c>
      <c r="F1187" s="492">
        <f t="shared" si="356"/>
        <v>13687.980000000001</v>
      </c>
      <c r="G1187" s="492">
        <f t="shared" si="356"/>
        <v>14662.95</v>
      </c>
      <c r="H1187" s="492">
        <f t="shared" si="356"/>
        <v>14662.95</v>
      </c>
      <c r="I1187" s="492">
        <f t="shared" si="356"/>
        <v>14662.95</v>
      </c>
      <c r="J1187" s="492">
        <f t="shared" si="356"/>
        <v>14662.95</v>
      </c>
      <c r="K1187" s="492">
        <f t="shared" si="356"/>
        <v>14662.95</v>
      </c>
      <c r="L1187" s="492">
        <f t="shared" si="356"/>
        <v>14662.95</v>
      </c>
      <c r="M1187" s="492">
        <f t="shared" si="356"/>
        <v>18712.95</v>
      </c>
      <c r="N1187" s="492">
        <f t="shared" si="356"/>
        <v>18712.95</v>
      </c>
      <c r="O1187" s="492">
        <f t="shared" si="356"/>
        <v>17242.8</v>
      </c>
      <c r="P1187" s="492">
        <f>P1183+P1185</f>
        <v>17357.28</v>
      </c>
      <c r="Q1187" s="492">
        <f>SUM(E1187:P1187)</f>
        <v>192155.4</v>
      </c>
    </row>
    <row r="1188" spans="1:17" ht="10.8" thickTop="1" x14ac:dyDescent="0.2">
      <c r="C1188" s="301"/>
      <c r="E1188" s="222"/>
      <c r="F1188" s="288"/>
      <c r="G1188" s="469"/>
      <c r="H1188" s="288"/>
      <c r="I1188" s="293"/>
      <c r="J1188" s="288"/>
      <c r="K1188" s="288"/>
      <c r="L1188" s="288"/>
      <c r="M1188" s="288"/>
      <c r="Q1188" s="412"/>
    </row>
    <row r="1190" spans="1:17" x14ac:dyDescent="0.2">
      <c r="A1190" s="222" t="str">
        <f>$A$270</f>
        <v>[1] Reflects Normalized Volumes.</v>
      </c>
    </row>
    <row r="1191" spans="1:17" x14ac:dyDescent="0.2">
      <c r="A1191" s="993" t="str">
        <f>CONAME</f>
        <v>Columbia Gas of Kentucky, Inc.</v>
      </c>
      <c r="B1191" s="993"/>
      <c r="C1191" s="993"/>
      <c r="D1191" s="993"/>
      <c r="E1191" s="993"/>
      <c r="F1191" s="993"/>
      <c r="G1191" s="993"/>
      <c r="H1191" s="993"/>
      <c r="I1191" s="993"/>
      <c r="J1191" s="993"/>
      <c r="K1191" s="993"/>
      <c r="L1191" s="993"/>
      <c r="M1191" s="993"/>
      <c r="N1191" s="993"/>
      <c r="O1191" s="993"/>
      <c r="P1191" s="993"/>
      <c r="Q1191" s="993"/>
    </row>
    <row r="1192" spans="1:17" x14ac:dyDescent="0.2">
      <c r="A1192" s="981" t="str">
        <f>case</f>
        <v>Case No. 2016-00162</v>
      </c>
      <c r="B1192" s="981"/>
      <c r="C1192" s="981"/>
      <c r="D1192" s="981"/>
      <c r="E1192" s="981"/>
      <c r="F1192" s="981"/>
      <c r="G1192" s="981"/>
      <c r="H1192" s="981"/>
      <c r="I1192" s="981"/>
      <c r="J1192" s="981"/>
      <c r="K1192" s="981"/>
      <c r="L1192" s="981"/>
      <c r="M1192" s="981"/>
      <c r="N1192" s="981"/>
      <c r="O1192" s="981"/>
      <c r="P1192" s="981"/>
      <c r="Q1192" s="981"/>
    </row>
    <row r="1193" spans="1:17" x14ac:dyDescent="0.2">
      <c r="A1193" s="994" t="s">
        <v>494</v>
      </c>
      <c r="B1193" s="994"/>
      <c r="C1193" s="994"/>
      <c r="D1193" s="994"/>
      <c r="E1193" s="994"/>
      <c r="F1193" s="994"/>
      <c r="G1193" s="994"/>
      <c r="H1193" s="994"/>
      <c r="I1193" s="994"/>
      <c r="J1193" s="994"/>
      <c r="K1193" s="994"/>
      <c r="L1193" s="994"/>
      <c r="M1193" s="994"/>
      <c r="N1193" s="994"/>
      <c r="O1193" s="994"/>
      <c r="P1193" s="994"/>
      <c r="Q1193" s="994"/>
    </row>
    <row r="1194" spans="1:17" x14ac:dyDescent="0.2">
      <c r="A1194" s="993" t="str">
        <f>TYDESC</f>
        <v>For the 12 Months Ended December 31, 2017</v>
      </c>
      <c r="B1194" s="993"/>
      <c r="C1194" s="993"/>
      <c r="D1194" s="993"/>
      <c r="E1194" s="993"/>
      <c r="F1194" s="993"/>
      <c r="G1194" s="993"/>
      <c r="H1194" s="993"/>
      <c r="I1194" s="993"/>
      <c r="J1194" s="993"/>
      <c r="K1194" s="993"/>
      <c r="L1194" s="993"/>
      <c r="M1194" s="993"/>
      <c r="N1194" s="993"/>
      <c r="O1194" s="993"/>
      <c r="P1194" s="993"/>
      <c r="Q1194" s="993"/>
    </row>
    <row r="1195" spans="1:17" x14ac:dyDescent="0.2">
      <c r="A1195" s="991" t="s">
        <v>39</v>
      </c>
      <c r="B1195" s="991"/>
      <c r="C1195" s="991"/>
      <c r="D1195" s="991"/>
      <c r="E1195" s="991"/>
      <c r="F1195" s="991"/>
      <c r="G1195" s="991"/>
      <c r="H1195" s="991"/>
      <c r="I1195" s="991"/>
      <c r="J1195" s="991"/>
      <c r="K1195" s="991"/>
      <c r="L1195" s="991"/>
      <c r="M1195" s="991"/>
      <c r="N1195" s="991"/>
      <c r="O1195" s="991"/>
      <c r="P1195" s="991"/>
      <c r="Q1195" s="991"/>
    </row>
    <row r="1196" spans="1:17" x14ac:dyDescent="0.2">
      <c r="A1196" s="262" t="str">
        <f>$A$52</f>
        <v>Data: __ Base Period _X_ Forecasted Period</v>
      </c>
    </row>
    <row r="1197" spans="1:17" x14ac:dyDescent="0.2">
      <c r="A1197" s="262" t="str">
        <f>$A$53</f>
        <v>Type of Filing: X Original _ Update _ Revised</v>
      </c>
      <c r="Q1197" s="413" t="str">
        <f>$Q$53</f>
        <v>Schedule M-2.2</v>
      </c>
    </row>
    <row r="1198" spans="1:17" x14ac:dyDescent="0.2">
      <c r="A1198" s="262" t="str">
        <f>$A$54</f>
        <v>Work Paper Reference No(s):</v>
      </c>
      <c r="Q1198" s="413" t="s">
        <v>508</v>
      </c>
    </row>
    <row r="1199" spans="1:17" x14ac:dyDescent="0.2">
      <c r="A1199" s="414" t="str">
        <f>$A$55</f>
        <v>12 Months Forecasted</v>
      </c>
      <c r="Q1199" s="413" t="str">
        <f>Witness</f>
        <v>Witness:  M. J. Bell</v>
      </c>
    </row>
    <row r="1200" spans="1:17" x14ac:dyDescent="0.2">
      <c r="A1200" s="992" t="s">
        <v>194</v>
      </c>
      <c r="B1200" s="992"/>
      <c r="C1200" s="992"/>
      <c r="D1200" s="992"/>
      <c r="E1200" s="992"/>
      <c r="F1200" s="992"/>
      <c r="G1200" s="992"/>
      <c r="H1200" s="992"/>
      <c r="I1200" s="992"/>
      <c r="J1200" s="992"/>
      <c r="K1200" s="992"/>
      <c r="L1200" s="992"/>
      <c r="M1200" s="992"/>
      <c r="N1200" s="992"/>
      <c r="O1200" s="992"/>
      <c r="P1200" s="992"/>
      <c r="Q1200" s="992"/>
    </row>
    <row r="1201" spans="1:17" x14ac:dyDescent="0.2">
      <c r="A1201" s="433"/>
      <c r="B1201" s="301"/>
      <c r="C1201" s="301"/>
      <c r="D1201" s="300"/>
      <c r="E1201" s="301"/>
      <c r="F1201" s="415"/>
      <c r="G1201" s="435"/>
      <c r="H1201" s="415"/>
      <c r="I1201" s="436"/>
      <c r="J1201" s="415"/>
      <c r="K1201" s="415"/>
      <c r="L1201" s="415"/>
      <c r="M1201" s="415"/>
      <c r="N1201" s="415"/>
      <c r="O1201" s="415"/>
      <c r="P1201" s="415"/>
      <c r="Q1201" s="301"/>
    </row>
    <row r="1202" spans="1:17" x14ac:dyDescent="0.2">
      <c r="A1202" s="410" t="s">
        <v>1</v>
      </c>
      <c r="B1202" s="224" t="s">
        <v>0</v>
      </c>
      <c r="C1202" s="224" t="s">
        <v>41</v>
      </c>
      <c r="D1202" s="416" t="s">
        <v>47</v>
      </c>
      <c r="E1202" s="224"/>
      <c r="F1202" s="417"/>
      <c r="G1202" s="418"/>
      <c r="H1202" s="417"/>
      <c r="I1202" s="419"/>
      <c r="J1202" s="417"/>
      <c r="K1202" s="417"/>
      <c r="L1202" s="417"/>
      <c r="M1202" s="417"/>
      <c r="N1202" s="417"/>
      <c r="O1202" s="417"/>
      <c r="P1202" s="417"/>
      <c r="Q1202" s="229"/>
    </row>
    <row r="1203" spans="1:17" x14ac:dyDescent="0.2">
      <c r="A1203" s="281" t="s">
        <v>3</v>
      </c>
      <c r="B1203" s="226" t="s">
        <v>40</v>
      </c>
      <c r="C1203" s="226" t="s">
        <v>4</v>
      </c>
      <c r="D1203" s="420" t="s">
        <v>48</v>
      </c>
      <c r="E1203" s="421" t="str">
        <f>B!$D$11</f>
        <v>Jan-17</v>
      </c>
      <c r="F1203" s="421" t="str">
        <f>B!$E$11</f>
        <v>Feb-17</v>
      </c>
      <c r="G1203" s="421" t="str">
        <f>B!$F$11</f>
        <v>Mar-17</v>
      </c>
      <c r="H1203" s="421" t="str">
        <f>B!$G$11</f>
        <v>Apr-17</v>
      </c>
      <c r="I1203" s="421" t="str">
        <f>B!$H$11</f>
        <v>May-17</v>
      </c>
      <c r="J1203" s="421" t="str">
        <f>B!$I$11</f>
        <v>Jun-17</v>
      </c>
      <c r="K1203" s="421" t="str">
        <f>B!$J$11</f>
        <v>Jul-17</v>
      </c>
      <c r="L1203" s="421" t="str">
        <f>B!$K$11</f>
        <v>Aug-17</v>
      </c>
      <c r="M1203" s="421" t="str">
        <f>B!$L$11</f>
        <v>Sep-17</v>
      </c>
      <c r="N1203" s="421" t="str">
        <f>B!$M$11</f>
        <v>Oct-17</v>
      </c>
      <c r="O1203" s="421" t="str">
        <f>B!$N$11</f>
        <v>Nov-17</v>
      </c>
      <c r="P1203" s="421" t="str">
        <f>B!$O$11</f>
        <v>Dec-17</v>
      </c>
      <c r="Q1203" s="422" t="s">
        <v>9</v>
      </c>
    </row>
    <row r="1204" spans="1:17" x14ac:dyDescent="0.2">
      <c r="A1204" s="410"/>
      <c r="B1204" s="229" t="s">
        <v>42</v>
      </c>
      <c r="C1204" s="229" t="s">
        <v>43</v>
      </c>
      <c r="D1204" s="423" t="s">
        <v>45</v>
      </c>
      <c r="E1204" s="424" t="s">
        <v>46</v>
      </c>
      <c r="F1204" s="424" t="s">
        <v>49</v>
      </c>
      <c r="G1204" s="424" t="s">
        <v>50</v>
      </c>
      <c r="H1204" s="424" t="s">
        <v>51</v>
      </c>
      <c r="I1204" s="424" t="s">
        <v>52</v>
      </c>
      <c r="J1204" s="424" t="s">
        <v>53</v>
      </c>
      <c r="K1204" s="425" t="s">
        <v>54</v>
      </c>
      <c r="L1204" s="425" t="s">
        <v>55</v>
      </c>
      <c r="M1204" s="425" t="s">
        <v>56</v>
      </c>
      <c r="N1204" s="425" t="s">
        <v>57</v>
      </c>
      <c r="O1204" s="425" t="s">
        <v>58</v>
      </c>
      <c r="P1204" s="425" t="s">
        <v>59</v>
      </c>
      <c r="Q1204" s="425" t="s">
        <v>203</v>
      </c>
    </row>
    <row r="1205" spans="1:17" x14ac:dyDescent="0.2">
      <c r="E1205" s="229"/>
      <c r="F1205" s="425"/>
      <c r="G1205" s="437"/>
      <c r="H1205" s="425"/>
      <c r="I1205" s="424"/>
      <c r="J1205" s="425"/>
      <c r="K1205" s="425"/>
      <c r="L1205" s="425"/>
      <c r="M1205" s="425"/>
      <c r="N1205" s="425"/>
      <c r="O1205" s="425"/>
      <c r="P1205" s="425"/>
      <c r="Q1205" s="229"/>
    </row>
    <row r="1206" spans="1:17" x14ac:dyDescent="0.2">
      <c r="A1206" s="222">
        <v>1</v>
      </c>
      <c r="B1206" s="219" t="str">
        <f>B351</f>
        <v>SAS</v>
      </c>
      <c r="C1206" s="219" t="str">
        <f>C351</f>
        <v>GTS Special Agency Service</v>
      </c>
    </row>
    <row r="1208" spans="1:17" x14ac:dyDescent="0.2">
      <c r="A1208" s="222">
        <f>A1206+1</f>
        <v>2</v>
      </c>
      <c r="C1208" s="223" t="s">
        <v>111</v>
      </c>
    </row>
    <row r="1209" spans="1:17" x14ac:dyDescent="0.2">
      <c r="C1209" s="223"/>
    </row>
    <row r="1210" spans="1:17" x14ac:dyDescent="0.2">
      <c r="A1210" s="222">
        <f>A1208+1</f>
        <v>3</v>
      </c>
      <c r="C1210" s="219" t="s">
        <v>202</v>
      </c>
      <c r="E1210" s="286">
        <f>B!D252</f>
        <v>0</v>
      </c>
      <c r="F1210" s="286">
        <f>B!E252</f>
        <v>0</v>
      </c>
      <c r="G1210" s="286">
        <f>B!F252</f>
        <v>0</v>
      </c>
      <c r="H1210" s="286">
        <f>B!G252</f>
        <v>0</v>
      </c>
      <c r="I1210" s="286">
        <f>B!H252</f>
        <v>0</v>
      </c>
      <c r="J1210" s="286">
        <f>B!I252</f>
        <v>0</v>
      </c>
      <c r="K1210" s="286">
        <f>B!J252</f>
        <v>0</v>
      </c>
      <c r="L1210" s="286">
        <f>B!K252</f>
        <v>0</v>
      </c>
      <c r="M1210" s="286">
        <f>B!L252</f>
        <v>0</v>
      </c>
      <c r="N1210" s="286">
        <f>B!M252</f>
        <v>0</v>
      </c>
      <c r="O1210" s="286">
        <f>B!N252</f>
        <v>0</v>
      </c>
      <c r="P1210" s="286">
        <f>B!O252</f>
        <v>0</v>
      </c>
      <c r="Q1210" s="240">
        <f>SUM(E1210:P1210)</f>
        <v>0</v>
      </c>
    </row>
    <row r="1211" spans="1:17" x14ac:dyDescent="0.2">
      <c r="A1211" s="222">
        <f>A1210+1</f>
        <v>4</v>
      </c>
      <c r="C1211" s="219" t="s">
        <v>210</v>
      </c>
      <c r="D1211" s="781">
        <f>Input!H53</f>
        <v>1007.05</v>
      </c>
      <c r="E1211" s="427">
        <f t="shared" ref="E1211:P1211" si="357">ROUND(E1210*$D$1211,2)</f>
        <v>0</v>
      </c>
      <c r="F1211" s="427">
        <f t="shared" si="357"/>
        <v>0</v>
      </c>
      <c r="G1211" s="427">
        <f t="shared" si="357"/>
        <v>0</v>
      </c>
      <c r="H1211" s="427">
        <f t="shared" si="357"/>
        <v>0</v>
      </c>
      <c r="I1211" s="427">
        <f t="shared" si="357"/>
        <v>0</v>
      </c>
      <c r="J1211" s="427">
        <f t="shared" si="357"/>
        <v>0</v>
      </c>
      <c r="K1211" s="427">
        <f t="shared" si="357"/>
        <v>0</v>
      </c>
      <c r="L1211" s="427">
        <f t="shared" si="357"/>
        <v>0</v>
      </c>
      <c r="M1211" s="427">
        <f t="shared" si="357"/>
        <v>0</v>
      </c>
      <c r="N1211" s="427">
        <f t="shared" si="357"/>
        <v>0</v>
      </c>
      <c r="O1211" s="427">
        <f t="shared" si="357"/>
        <v>0</v>
      </c>
      <c r="P1211" s="427">
        <f t="shared" si="357"/>
        <v>0</v>
      </c>
      <c r="Q1211" s="427">
        <f>SUM(E1211:P1211)</f>
        <v>0</v>
      </c>
    </row>
    <row r="1212" spans="1:17" x14ac:dyDescent="0.2">
      <c r="A1212" s="222">
        <f>A1211+1</f>
        <v>5</v>
      </c>
      <c r="C1212" s="219" t="s">
        <v>217</v>
      </c>
      <c r="D1212" s="781">
        <f>Input!I53</f>
        <v>55.9</v>
      </c>
      <c r="E1212" s="427">
        <f t="shared" ref="E1212:P1212" si="358">ROUND(E1210*$D$1212,2)</f>
        <v>0</v>
      </c>
      <c r="F1212" s="427">
        <f t="shared" si="358"/>
        <v>0</v>
      </c>
      <c r="G1212" s="427">
        <f t="shared" si="358"/>
        <v>0</v>
      </c>
      <c r="H1212" s="427">
        <f t="shared" si="358"/>
        <v>0</v>
      </c>
      <c r="I1212" s="427">
        <f t="shared" si="358"/>
        <v>0</v>
      </c>
      <c r="J1212" s="427">
        <f t="shared" si="358"/>
        <v>0</v>
      </c>
      <c r="K1212" s="427">
        <f t="shared" si="358"/>
        <v>0</v>
      </c>
      <c r="L1212" s="427">
        <f t="shared" si="358"/>
        <v>0</v>
      </c>
      <c r="M1212" s="427">
        <f t="shared" si="358"/>
        <v>0</v>
      </c>
      <c r="N1212" s="427">
        <f t="shared" si="358"/>
        <v>0</v>
      </c>
      <c r="O1212" s="427">
        <f t="shared" si="358"/>
        <v>0</v>
      </c>
      <c r="P1212" s="427">
        <f t="shared" si="358"/>
        <v>0</v>
      </c>
      <c r="Q1212" s="427">
        <f>SUM(E1212:P1212)</f>
        <v>0</v>
      </c>
    </row>
    <row r="1213" spans="1:17" x14ac:dyDescent="0.2">
      <c r="A1213" s="222">
        <f>A1212+1</f>
        <v>6</v>
      </c>
      <c r="C1213" s="222" t="s">
        <v>211</v>
      </c>
      <c r="D1213" s="781">
        <f>Input!J53</f>
        <v>449.59</v>
      </c>
      <c r="E1213" s="427">
        <f t="shared" ref="E1213:P1213" si="359">ROUND(E1210*$D$1213,2)</f>
        <v>0</v>
      </c>
      <c r="F1213" s="427">
        <f t="shared" si="359"/>
        <v>0</v>
      </c>
      <c r="G1213" s="427">
        <f t="shared" si="359"/>
        <v>0</v>
      </c>
      <c r="H1213" s="427">
        <f t="shared" si="359"/>
        <v>0</v>
      </c>
      <c r="I1213" s="427">
        <f t="shared" si="359"/>
        <v>0</v>
      </c>
      <c r="J1213" s="427">
        <f t="shared" si="359"/>
        <v>0</v>
      </c>
      <c r="K1213" s="427">
        <f t="shared" si="359"/>
        <v>0</v>
      </c>
      <c r="L1213" s="427">
        <f t="shared" si="359"/>
        <v>0</v>
      </c>
      <c r="M1213" s="427">
        <f t="shared" si="359"/>
        <v>0</v>
      </c>
      <c r="N1213" s="427">
        <f t="shared" si="359"/>
        <v>0</v>
      </c>
      <c r="O1213" s="427">
        <f t="shared" si="359"/>
        <v>0</v>
      </c>
      <c r="P1213" s="427">
        <f t="shared" si="359"/>
        <v>0</v>
      </c>
      <c r="Q1213" s="427">
        <f>SUM(E1213:P1213)</f>
        <v>0</v>
      </c>
    </row>
    <row r="1214" spans="1:17" x14ac:dyDescent="0.2">
      <c r="D1214" s="286"/>
      <c r="E1214" s="222"/>
      <c r="F1214" s="288"/>
      <c r="G1214" s="469"/>
      <c r="H1214" s="288"/>
      <c r="I1214" s="293"/>
      <c r="J1214" s="288"/>
      <c r="K1214" s="288"/>
    </row>
    <row r="1215" spans="1:17" x14ac:dyDescent="0.2">
      <c r="A1215" s="222">
        <f>A1213+1</f>
        <v>7</v>
      </c>
      <c r="C1215" s="219" t="s">
        <v>209</v>
      </c>
      <c r="D1215" s="286"/>
      <c r="E1215" s="514"/>
      <c r="F1215" s="288"/>
      <c r="G1215" s="469"/>
      <c r="H1215" s="288"/>
      <c r="I1215" s="293"/>
      <c r="J1215" s="288"/>
      <c r="K1215" s="288"/>
    </row>
    <row r="1216" spans="1:17" x14ac:dyDescent="0.2">
      <c r="A1216" s="222">
        <f>A1215+1</f>
        <v>8</v>
      </c>
      <c r="C1216" s="222" t="str">
        <f>'C'!B378</f>
        <v xml:space="preserve">    First 30,000 Mcf</v>
      </c>
      <c r="D1216" s="286"/>
      <c r="E1216" s="293">
        <f>'C'!D388</f>
        <v>0</v>
      </c>
      <c r="F1216" s="293">
        <f>'C'!E388</f>
        <v>0</v>
      </c>
      <c r="G1216" s="293">
        <f>'C'!F388</f>
        <v>0</v>
      </c>
      <c r="H1216" s="293">
        <f>'C'!G388</f>
        <v>0</v>
      </c>
      <c r="I1216" s="293">
        <f>'C'!H388</f>
        <v>0</v>
      </c>
      <c r="J1216" s="293">
        <f>'C'!I388</f>
        <v>0</v>
      </c>
      <c r="K1216" s="293">
        <f>'C'!J388</f>
        <v>0</v>
      </c>
      <c r="L1216" s="293">
        <f>'C'!K388</f>
        <v>0</v>
      </c>
      <c r="M1216" s="293">
        <f>'C'!L388</f>
        <v>0</v>
      </c>
      <c r="N1216" s="293">
        <f>'C'!M388</f>
        <v>0</v>
      </c>
      <c r="O1216" s="293">
        <f>'C'!N388</f>
        <v>0</v>
      </c>
      <c r="P1216" s="293">
        <f>'C'!O388</f>
        <v>0</v>
      </c>
      <c r="Q1216" s="245">
        <f>SUM(E1216:P1216)</f>
        <v>0</v>
      </c>
    </row>
    <row r="1217" spans="1:17" x14ac:dyDescent="0.2">
      <c r="A1217" s="222">
        <f>A1216+1</f>
        <v>9</v>
      </c>
      <c r="C1217" s="222" t="str">
        <f>'C'!B379</f>
        <v xml:space="preserve">    Next 70,000 Mcf</v>
      </c>
      <c r="D1217" s="286"/>
      <c r="E1217" s="293">
        <f>'C'!D389</f>
        <v>0</v>
      </c>
      <c r="F1217" s="293">
        <f>'C'!E389</f>
        <v>0</v>
      </c>
      <c r="G1217" s="293">
        <f>'C'!F389</f>
        <v>0</v>
      </c>
      <c r="H1217" s="293">
        <f>'C'!G389</f>
        <v>0</v>
      </c>
      <c r="I1217" s="293">
        <f>'C'!H389</f>
        <v>0</v>
      </c>
      <c r="J1217" s="293">
        <f>'C'!I389</f>
        <v>0</v>
      </c>
      <c r="K1217" s="293">
        <f>'C'!J389</f>
        <v>0</v>
      </c>
      <c r="L1217" s="293">
        <f>'C'!K389</f>
        <v>0</v>
      </c>
      <c r="M1217" s="293">
        <f>'C'!L389</f>
        <v>0</v>
      </c>
      <c r="N1217" s="293">
        <f>'C'!M389</f>
        <v>0</v>
      </c>
      <c r="O1217" s="293">
        <f>'C'!N389</f>
        <v>0</v>
      </c>
      <c r="P1217" s="293">
        <f>'C'!O389</f>
        <v>0</v>
      </c>
      <c r="Q1217" s="245">
        <f>SUM(E1217:P1217)</f>
        <v>0</v>
      </c>
    </row>
    <row r="1218" spans="1:17" x14ac:dyDescent="0.2">
      <c r="A1218" s="222">
        <f>A1217+1</f>
        <v>10</v>
      </c>
      <c r="C1218" s="222" t="str">
        <f>'C'!B380</f>
        <v xml:space="preserve">    Over 100,000 Mcf</v>
      </c>
      <c r="D1218" s="286"/>
      <c r="E1218" s="515">
        <f>'C'!D390</f>
        <v>0</v>
      </c>
      <c r="F1218" s="515">
        <f>'C'!E390</f>
        <v>0</v>
      </c>
      <c r="G1218" s="515">
        <f>'C'!F390</f>
        <v>0</v>
      </c>
      <c r="H1218" s="515">
        <f>'C'!G390</f>
        <v>0</v>
      </c>
      <c r="I1218" s="515">
        <f>'C'!H390</f>
        <v>0</v>
      </c>
      <c r="J1218" s="515">
        <f>'C'!I390</f>
        <v>0</v>
      </c>
      <c r="K1218" s="515">
        <f>'C'!J390</f>
        <v>0</v>
      </c>
      <c r="L1218" s="515">
        <f>'C'!K390</f>
        <v>0</v>
      </c>
      <c r="M1218" s="515">
        <f>'C'!L390</f>
        <v>0</v>
      </c>
      <c r="N1218" s="515">
        <f>'C'!M390</f>
        <v>0</v>
      </c>
      <c r="O1218" s="515">
        <f>'C'!N390</f>
        <v>0</v>
      </c>
      <c r="P1218" s="515">
        <f>'C'!O390</f>
        <v>0</v>
      </c>
      <c r="Q1218" s="464">
        <f>SUM(E1218:P1218)</f>
        <v>0</v>
      </c>
    </row>
    <row r="1219" spans="1:17" x14ac:dyDescent="0.2">
      <c r="C1219" s="222"/>
      <c r="D1219" s="286"/>
      <c r="E1219" s="293">
        <f t="shared" ref="E1219:O1219" si="360">SUM(E1216:E1218)</f>
        <v>0</v>
      </c>
      <c r="F1219" s="293">
        <f t="shared" si="360"/>
        <v>0</v>
      </c>
      <c r="G1219" s="293">
        <f t="shared" si="360"/>
        <v>0</v>
      </c>
      <c r="H1219" s="293">
        <f t="shared" si="360"/>
        <v>0</v>
      </c>
      <c r="I1219" s="293">
        <f t="shared" si="360"/>
        <v>0</v>
      </c>
      <c r="J1219" s="293">
        <f t="shared" si="360"/>
        <v>0</v>
      </c>
      <c r="K1219" s="293">
        <f t="shared" si="360"/>
        <v>0</v>
      </c>
      <c r="L1219" s="293">
        <f t="shared" si="360"/>
        <v>0</v>
      </c>
      <c r="M1219" s="293">
        <f t="shared" si="360"/>
        <v>0</v>
      </c>
      <c r="N1219" s="293">
        <f t="shared" si="360"/>
        <v>0</v>
      </c>
      <c r="O1219" s="293">
        <f t="shared" si="360"/>
        <v>0</v>
      </c>
      <c r="P1219" s="293">
        <f>SUM(P1216:P1218)</f>
        <v>0</v>
      </c>
      <c r="Q1219" s="245">
        <f>SUM(E1219:P1219)</f>
        <v>0</v>
      </c>
    </row>
    <row r="1220" spans="1:17" x14ac:dyDescent="0.2">
      <c r="A1220" s="222">
        <f>A1218+1</f>
        <v>11</v>
      </c>
      <c r="C1220" s="240" t="s">
        <v>207</v>
      </c>
      <c r="D1220" s="286"/>
      <c r="E1220" s="295"/>
      <c r="F1220" s="535"/>
      <c r="G1220" s="536"/>
      <c r="H1220" s="535"/>
      <c r="I1220" s="515"/>
      <c r="J1220" s="537"/>
      <c r="K1220" s="535"/>
      <c r="L1220" s="535"/>
      <c r="M1220" s="535"/>
      <c r="N1220" s="463"/>
      <c r="O1220" s="463"/>
      <c r="P1220" s="463"/>
      <c r="Q1220" s="412"/>
    </row>
    <row r="1221" spans="1:17" x14ac:dyDescent="0.2">
      <c r="A1221" s="222">
        <f>A1220+1</f>
        <v>12</v>
      </c>
      <c r="C1221" s="240" t="str">
        <f>C1216</f>
        <v xml:space="preserve">    First 30,000 Mcf</v>
      </c>
      <c r="D1221" s="782">
        <f>Input!C53</f>
        <v>0.54430000000000001</v>
      </c>
      <c r="E1221" s="427">
        <f t="shared" ref="E1221:P1221" si="361">ROUND(E1216*$D$1221,2)</f>
        <v>0</v>
      </c>
      <c r="F1221" s="427">
        <f t="shared" si="361"/>
        <v>0</v>
      </c>
      <c r="G1221" s="427">
        <f t="shared" si="361"/>
        <v>0</v>
      </c>
      <c r="H1221" s="427">
        <f t="shared" si="361"/>
        <v>0</v>
      </c>
      <c r="I1221" s="427">
        <f t="shared" si="361"/>
        <v>0</v>
      </c>
      <c r="J1221" s="427">
        <f t="shared" si="361"/>
        <v>0</v>
      </c>
      <c r="K1221" s="427">
        <f t="shared" si="361"/>
        <v>0</v>
      </c>
      <c r="L1221" s="427">
        <f t="shared" si="361"/>
        <v>0</v>
      </c>
      <c r="M1221" s="427">
        <f t="shared" si="361"/>
        <v>0</v>
      </c>
      <c r="N1221" s="427">
        <f t="shared" si="361"/>
        <v>0</v>
      </c>
      <c r="O1221" s="427">
        <f t="shared" si="361"/>
        <v>0</v>
      </c>
      <c r="P1221" s="427">
        <f t="shared" si="361"/>
        <v>0</v>
      </c>
      <c r="Q1221" s="427">
        <f>SUM(E1221:P1221)</f>
        <v>0</v>
      </c>
    </row>
    <row r="1222" spans="1:17" x14ac:dyDescent="0.2">
      <c r="A1222" s="222">
        <f t="shared" ref="A1222:A1223" si="362">A1221+1</f>
        <v>13</v>
      </c>
      <c r="C1222" s="240" t="str">
        <f>C1217</f>
        <v xml:space="preserve">    Next 70,000 Mcf</v>
      </c>
      <c r="D1222" s="782">
        <f>Input!D53</f>
        <v>0.28899999999999998</v>
      </c>
      <c r="E1222" s="893">
        <f>ROUND(E1217*$D$1222,2)</f>
        <v>0</v>
      </c>
      <c r="F1222" s="893">
        <f t="shared" ref="F1222:Q1222" si="363">ROUND(F1217*$D$1222,2)</f>
        <v>0</v>
      </c>
      <c r="G1222" s="893">
        <f t="shared" si="363"/>
        <v>0</v>
      </c>
      <c r="H1222" s="893">
        <f t="shared" si="363"/>
        <v>0</v>
      </c>
      <c r="I1222" s="893">
        <f t="shared" si="363"/>
        <v>0</v>
      </c>
      <c r="J1222" s="893">
        <f t="shared" si="363"/>
        <v>0</v>
      </c>
      <c r="K1222" s="893">
        <f t="shared" si="363"/>
        <v>0</v>
      </c>
      <c r="L1222" s="893">
        <f t="shared" si="363"/>
        <v>0</v>
      </c>
      <c r="M1222" s="893">
        <f t="shared" si="363"/>
        <v>0</v>
      </c>
      <c r="N1222" s="893">
        <f t="shared" si="363"/>
        <v>0</v>
      </c>
      <c r="O1222" s="893">
        <f t="shared" si="363"/>
        <v>0</v>
      </c>
      <c r="P1222" s="893">
        <f t="shared" si="363"/>
        <v>0</v>
      </c>
      <c r="Q1222" s="893">
        <f t="shared" si="363"/>
        <v>0</v>
      </c>
    </row>
    <row r="1223" spans="1:17" x14ac:dyDescent="0.2">
      <c r="A1223" s="222">
        <f t="shared" si="362"/>
        <v>14</v>
      </c>
      <c r="C1223" s="240" t="str">
        <f>C1218</f>
        <v xml:space="preserve">    Over 100,000 Mcf</v>
      </c>
      <c r="D1223" s="782">
        <f>Input!E53</f>
        <v>0.28899999999999998</v>
      </c>
      <c r="E1223" s="273">
        <f t="shared" ref="E1223:P1223" si="364">ROUND(E1218*$D$1223,2)</f>
        <v>0</v>
      </c>
      <c r="F1223" s="273">
        <f t="shared" si="364"/>
        <v>0</v>
      </c>
      <c r="G1223" s="273">
        <f t="shared" si="364"/>
        <v>0</v>
      </c>
      <c r="H1223" s="273">
        <f t="shared" si="364"/>
        <v>0</v>
      </c>
      <c r="I1223" s="273">
        <f t="shared" si="364"/>
        <v>0</v>
      </c>
      <c r="J1223" s="273">
        <f t="shared" si="364"/>
        <v>0</v>
      </c>
      <c r="K1223" s="273">
        <f t="shared" si="364"/>
        <v>0</v>
      </c>
      <c r="L1223" s="273">
        <f t="shared" si="364"/>
        <v>0</v>
      </c>
      <c r="M1223" s="273">
        <f t="shared" si="364"/>
        <v>0</v>
      </c>
      <c r="N1223" s="273">
        <f t="shared" si="364"/>
        <v>0</v>
      </c>
      <c r="O1223" s="273">
        <f t="shared" si="364"/>
        <v>0</v>
      </c>
      <c r="P1223" s="273">
        <f t="shared" si="364"/>
        <v>0</v>
      </c>
      <c r="Q1223" s="431">
        <f>SUM(E1223:P1223)</f>
        <v>0</v>
      </c>
    </row>
    <row r="1224" spans="1:17" x14ac:dyDescent="0.2">
      <c r="C1224" s="240"/>
      <c r="D1224" s="286"/>
      <c r="E1224" s="427">
        <f t="shared" ref="E1224:O1224" si="365">SUM(E1221:E1223)</f>
        <v>0</v>
      </c>
      <c r="F1224" s="427">
        <f t="shared" si="365"/>
        <v>0</v>
      </c>
      <c r="G1224" s="427">
        <f t="shared" si="365"/>
        <v>0</v>
      </c>
      <c r="H1224" s="427">
        <f t="shared" si="365"/>
        <v>0</v>
      </c>
      <c r="I1224" s="427">
        <f t="shared" si="365"/>
        <v>0</v>
      </c>
      <c r="J1224" s="427">
        <f t="shared" si="365"/>
        <v>0</v>
      </c>
      <c r="K1224" s="427">
        <f t="shared" si="365"/>
        <v>0</v>
      </c>
      <c r="L1224" s="427">
        <f t="shared" si="365"/>
        <v>0</v>
      </c>
      <c r="M1224" s="427">
        <f t="shared" si="365"/>
        <v>0</v>
      </c>
      <c r="N1224" s="427">
        <f t="shared" si="365"/>
        <v>0</v>
      </c>
      <c r="O1224" s="427">
        <f t="shared" si="365"/>
        <v>0</v>
      </c>
      <c r="P1224" s="427">
        <f>SUM(P1221:P1223)</f>
        <v>0</v>
      </c>
      <c r="Q1224" s="427">
        <f>SUM(E1224:P1224)</f>
        <v>0</v>
      </c>
    </row>
    <row r="1225" spans="1:17" x14ac:dyDescent="0.2">
      <c r="C1225" s="240"/>
      <c r="D1225" s="286"/>
      <c r="E1225" s="295"/>
      <c r="F1225" s="535"/>
      <c r="G1225" s="536"/>
      <c r="H1225" s="535"/>
      <c r="I1225" s="515"/>
      <c r="J1225" s="537"/>
      <c r="K1225" s="535"/>
      <c r="L1225" s="535"/>
      <c r="M1225" s="535"/>
      <c r="N1225" s="463"/>
      <c r="O1225" s="463"/>
      <c r="P1225" s="463"/>
      <c r="Q1225" s="412"/>
    </row>
    <row r="1226" spans="1:17" x14ac:dyDescent="0.2">
      <c r="A1226" s="222">
        <f>A1223+1</f>
        <v>15</v>
      </c>
      <c r="C1226" s="240" t="s">
        <v>204</v>
      </c>
      <c r="D1226" s="286"/>
      <c r="E1226" s="427">
        <f t="shared" ref="E1226:O1226" si="366">E1211+E1212+E1213+E1224</f>
        <v>0</v>
      </c>
      <c r="F1226" s="427">
        <f t="shared" si="366"/>
        <v>0</v>
      </c>
      <c r="G1226" s="427">
        <f t="shared" si="366"/>
        <v>0</v>
      </c>
      <c r="H1226" s="427">
        <f t="shared" si="366"/>
        <v>0</v>
      </c>
      <c r="I1226" s="427">
        <f t="shared" si="366"/>
        <v>0</v>
      </c>
      <c r="J1226" s="427">
        <f t="shared" si="366"/>
        <v>0</v>
      </c>
      <c r="K1226" s="427">
        <f t="shared" si="366"/>
        <v>0</v>
      </c>
      <c r="L1226" s="427">
        <f t="shared" si="366"/>
        <v>0</v>
      </c>
      <c r="M1226" s="427">
        <f t="shared" si="366"/>
        <v>0</v>
      </c>
      <c r="N1226" s="427">
        <f t="shared" si="366"/>
        <v>0</v>
      </c>
      <c r="O1226" s="427">
        <f t="shared" si="366"/>
        <v>0</v>
      </c>
      <c r="P1226" s="427">
        <f>P1211+P1212+P1213+P1224</f>
        <v>0</v>
      </c>
      <c r="Q1226" s="427">
        <f>SUM(E1226:P1226)</f>
        <v>0</v>
      </c>
    </row>
    <row r="1227" spans="1:17" x14ac:dyDescent="0.2">
      <c r="C1227" s="240"/>
      <c r="D1227" s="286"/>
      <c r="E1227" s="295"/>
      <c r="F1227" s="535"/>
      <c r="G1227" s="536"/>
      <c r="H1227" s="535"/>
      <c r="I1227" s="515"/>
      <c r="J1227" s="537"/>
      <c r="K1227" s="535"/>
      <c r="L1227" s="535"/>
      <c r="M1227" s="535"/>
      <c r="N1227" s="463"/>
      <c r="O1227" s="463"/>
      <c r="P1227" s="463"/>
      <c r="Q1227" s="412"/>
    </row>
    <row r="1228" spans="1:17" x14ac:dyDescent="0.2">
      <c r="A1228" s="222">
        <f>A1226+1</f>
        <v>16</v>
      </c>
      <c r="C1228" s="219" t="s">
        <v>151</v>
      </c>
      <c r="D1228" s="782">
        <v>0</v>
      </c>
      <c r="E1228" s="510">
        <v>0</v>
      </c>
      <c r="F1228" s="510">
        <v>0</v>
      </c>
      <c r="G1228" s="510">
        <v>0</v>
      </c>
      <c r="H1228" s="510">
        <v>0</v>
      </c>
      <c r="I1228" s="510">
        <v>0</v>
      </c>
      <c r="J1228" s="510">
        <v>0</v>
      </c>
      <c r="K1228" s="510">
        <v>0</v>
      </c>
      <c r="L1228" s="510">
        <v>0</v>
      </c>
      <c r="M1228" s="510">
        <v>0</v>
      </c>
      <c r="N1228" s="510">
        <v>0</v>
      </c>
      <c r="O1228" s="510">
        <v>0</v>
      </c>
      <c r="P1228" s="510">
        <v>0</v>
      </c>
      <c r="Q1228" s="427">
        <f>SUM(E1228:P1228)</f>
        <v>0</v>
      </c>
    </row>
    <row r="1229" spans="1:17" x14ac:dyDescent="0.2">
      <c r="E1229" s="222"/>
      <c r="F1229" s="288"/>
      <c r="G1229" s="469"/>
      <c r="H1229" s="288"/>
      <c r="I1229" s="293"/>
      <c r="J1229" s="288"/>
      <c r="K1229" s="288"/>
      <c r="L1229" s="288"/>
      <c r="M1229" s="288"/>
    </row>
    <row r="1230" spans="1:17" ht="10.8" thickBot="1" x14ac:dyDescent="0.25">
      <c r="A1230" s="488">
        <f>A1228+1</f>
        <v>17</v>
      </c>
      <c r="B1230" s="489"/>
      <c r="C1230" s="489" t="s">
        <v>205</v>
      </c>
      <c r="D1230" s="490"/>
      <c r="E1230" s="492">
        <f t="shared" ref="E1230:O1230" si="367">E1226+E1228</f>
        <v>0</v>
      </c>
      <c r="F1230" s="492">
        <f t="shared" si="367"/>
        <v>0</v>
      </c>
      <c r="G1230" s="492">
        <f t="shared" si="367"/>
        <v>0</v>
      </c>
      <c r="H1230" s="492">
        <f t="shared" si="367"/>
        <v>0</v>
      </c>
      <c r="I1230" s="492">
        <f t="shared" si="367"/>
        <v>0</v>
      </c>
      <c r="J1230" s="492">
        <f t="shared" si="367"/>
        <v>0</v>
      </c>
      <c r="K1230" s="492">
        <f t="shared" si="367"/>
        <v>0</v>
      </c>
      <c r="L1230" s="492">
        <f t="shared" si="367"/>
        <v>0</v>
      </c>
      <c r="M1230" s="492">
        <f t="shared" si="367"/>
        <v>0</v>
      </c>
      <c r="N1230" s="492">
        <f t="shared" si="367"/>
        <v>0</v>
      </c>
      <c r="O1230" s="492">
        <f t="shared" si="367"/>
        <v>0</v>
      </c>
      <c r="P1230" s="492">
        <f>P1226+P1228</f>
        <v>0</v>
      </c>
      <c r="Q1230" s="492">
        <f>SUM(E1230:P1230)</f>
        <v>0</v>
      </c>
    </row>
    <row r="1231" spans="1:17" ht="10.8" thickTop="1" x14ac:dyDescent="0.2"/>
    <row r="1232" spans="1:17" x14ac:dyDescent="0.2">
      <c r="A1232" s="222">
        <f>A1230+1</f>
        <v>18</v>
      </c>
      <c r="B1232" s="219" t="str">
        <f>B358</f>
        <v>SC3</v>
      </c>
      <c r="C1232" s="219" t="str">
        <f>C358</f>
        <v>GTS Special Rate - Industrial</v>
      </c>
    </row>
    <row r="1234" spans="1:17" x14ac:dyDescent="0.2">
      <c r="A1234" s="222">
        <f>A1232+1</f>
        <v>19</v>
      </c>
      <c r="C1234" s="223" t="s">
        <v>112</v>
      </c>
    </row>
    <row r="1235" spans="1:17" x14ac:dyDescent="0.2">
      <c r="C1235" s="223"/>
    </row>
    <row r="1236" spans="1:17" x14ac:dyDescent="0.2">
      <c r="A1236" s="222">
        <f>A1234+1</f>
        <v>20</v>
      </c>
      <c r="C1236" s="219" t="s">
        <v>202</v>
      </c>
      <c r="E1236" s="472">
        <f>B!D271</f>
        <v>1</v>
      </c>
      <c r="F1236" s="472">
        <f>B!E271</f>
        <v>1</v>
      </c>
      <c r="G1236" s="472">
        <f>B!F271</f>
        <v>1</v>
      </c>
      <c r="H1236" s="472">
        <f>B!G271</f>
        <v>1</v>
      </c>
      <c r="I1236" s="472">
        <f>B!H271</f>
        <v>1</v>
      </c>
      <c r="J1236" s="472">
        <f>B!I271</f>
        <v>1</v>
      </c>
      <c r="K1236" s="472">
        <f>B!J271</f>
        <v>1</v>
      </c>
      <c r="L1236" s="472">
        <f>B!K271</f>
        <v>1</v>
      </c>
      <c r="M1236" s="472">
        <f>B!L271</f>
        <v>1</v>
      </c>
      <c r="N1236" s="472">
        <f>B!M271</f>
        <v>1</v>
      </c>
      <c r="O1236" s="472">
        <f>B!N271</f>
        <v>1</v>
      </c>
      <c r="P1236" s="472">
        <f>B!O271</f>
        <v>1</v>
      </c>
      <c r="Q1236" s="473">
        <f>SUM(E1236:P1236)</f>
        <v>12</v>
      </c>
    </row>
    <row r="1237" spans="1:17" x14ac:dyDescent="0.2">
      <c r="A1237" s="222">
        <f>A1236+1</f>
        <v>21</v>
      </c>
      <c r="C1237" s="219" t="s">
        <v>210</v>
      </c>
      <c r="D1237" s="781">
        <f>Input!H54</f>
        <v>1007.05</v>
      </c>
      <c r="E1237" s="427">
        <f t="shared" ref="E1237:P1237" si="368">ROUND(E1236*$D$1237,2)</f>
        <v>1007.05</v>
      </c>
      <c r="F1237" s="427">
        <f t="shared" si="368"/>
        <v>1007.05</v>
      </c>
      <c r="G1237" s="427">
        <f t="shared" si="368"/>
        <v>1007.05</v>
      </c>
      <c r="H1237" s="427">
        <f t="shared" si="368"/>
        <v>1007.05</v>
      </c>
      <c r="I1237" s="427">
        <f t="shared" si="368"/>
        <v>1007.05</v>
      </c>
      <c r="J1237" s="427">
        <f t="shared" si="368"/>
        <v>1007.05</v>
      </c>
      <c r="K1237" s="427">
        <f t="shared" si="368"/>
        <v>1007.05</v>
      </c>
      <c r="L1237" s="427">
        <f t="shared" si="368"/>
        <v>1007.05</v>
      </c>
      <c r="M1237" s="427">
        <f t="shared" si="368"/>
        <v>1007.05</v>
      </c>
      <c r="N1237" s="427">
        <f t="shared" si="368"/>
        <v>1007.05</v>
      </c>
      <c r="O1237" s="427">
        <f t="shared" si="368"/>
        <v>1007.05</v>
      </c>
      <c r="P1237" s="427">
        <f t="shared" si="368"/>
        <v>1007.05</v>
      </c>
      <c r="Q1237" s="427">
        <f>SUM(E1237:P1237)</f>
        <v>12084.599999999999</v>
      </c>
    </row>
    <row r="1238" spans="1:17" x14ac:dyDescent="0.2">
      <c r="A1238" s="222">
        <f>A1237+1</f>
        <v>22</v>
      </c>
      <c r="C1238" s="219" t="s">
        <v>217</v>
      </c>
      <c r="D1238" s="781">
        <f>Input!I54</f>
        <v>55.9</v>
      </c>
      <c r="E1238" s="427">
        <f t="shared" ref="E1238:P1238" si="369">ROUND(E1236*$D$1238,2)</f>
        <v>55.9</v>
      </c>
      <c r="F1238" s="427">
        <f t="shared" si="369"/>
        <v>55.9</v>
      </c>
      <c r="G1238" s="427">
        <f t="shared" si="369"/>
        <v>55.9</v>
      </c>
      <c r="H1238" s="427">
        <f t="shared" si="369"/>
        <v>55.9</v>
      </c>
      <c r="I1238" s="427">
        <f t="shared" si="369"/>
        <v>55.9</v>
      </c>
      <c r="J1238" s="427">
        <f t="shared" si="369"/>
        <v>55.9</v>
      </c>
      <c r="K1238" s="427">
        <f t="shared" si="369"/>
        <v>55.9</v>
      </c>
      <c r="L1238" s="427">
        <f t="shared" si="369"/>
        <v>55.9</v>
      </c>
      <c r="M1238" s="427">
        <f t="shared" si="369"/>
        <v>55.9</v>
      </c>
      <c r="N1238" s="427">
        <f t="shared" si="369"/>
        <v>55.9</v>
      </c>
      <c r="O1238" s="427">
        <f t="shared" si="369"/>
        <v>55.9</v>
      </c>
      <c r="P1238" s="427">
        <f t="shared" si="369"/>
        <v>55.9</v>
      </c>
      <c r="Q1238" s="427">
        <f>SUM(E1238:P1238)</f>
        <v>670.79999999999984</v>
      </c>
    </row>
    <row r="1239" spans="1:17" x14ac:dyDescent="0.2">
      <c r="D1239" s="286"/>
      <c r="E1239" s="222"/>
      <c r="F1239" s="288"/>
      <c r="G1239" s="469"/>
      <c r="H1239" s="288"/>
      <c r="I1239" s="293"/>
      <c r="J1239" s="288"/>
      <c r="K1239" s="288"/>
      <c r="L1239" s="288"/>
    </row>
    <row r="1240" spans="1:17" x14ac:dyDescent="0.2">
      <c r="A1240" s="222">
        <f>A1238+1</f>
        <v>23</v>
      </c>
      <c r="C1240" s="219" t="s">
        <v>209</v>
      </c>
      <c r="D1240" s="286"/>
      <c r="E1240" s="222"/>
      <c r="F1240" s="288"/>
      <c r="G1240" s="469"/>
      <c r="H1240" s="288"/>
      <c r="I1240" s="293"/>
      <c r="J1240" s="288"/>
      <c r="K1240" s="288"/>
      <c r="L1240" s="288"/>
    </row>
    <row r="1241" spans="1:17" x14ac:dyDescent="0.2">
      <c r="A1241" s="222">
        <f>A1240+1</f>
        <v>24</v>
      </c>
      <c r="C1241" s="240" t="str">
        <f>'C'!B395</f>
        <v xml:space="preserve">    First 150,000 Mcf</v>
      </c>
      <c r="D1241" s="512"/>
      <c r="E1241" s="293">
        <f>'C'!D403</f>
        <v>150000</v>
      </c>
      <c r="F1241" s="293">
        <f>'C'!E403</f>
        <v>150000</v>
      </c>
      <c r="G1241" s="293">
        <f>'C'!F403</f>
        <v>140000</v>
      </c>
      <c r="H1241" s="293">
        <f>'C'!G403</f>
        <v>140000</v>
      </c>
      <c r="I1241" s="293">
        <f>'C'!H403</f>
        <v>130000</v>
      </c>
      <c r="J1241" s="293">
        <f>'C'!I403</f>
        <v>130000</v>
      </c>
      <c r="K1241" s="293">
        <f>'C'!J403</f>
        <v>130000</v>
      </c>
      <c r="L1241" s="293">
        <f>'C'!K403</f>
        <v>130000</v>
      </c>
      <c r="M1241" s="293">
        <f>'C'!L403</f>
        <v>130000</v>
      </c>
      <c r="N1241" s="293">
        <f>'C'!M403</f>
        <v>130000</v>
      </c>
      <c r="O1241" s="293">
        <f>'C'!N403</f>
        <v>140000</v>
      </c>
      <c r="P1241" s="293">
        <f>'C'!O403</f>
        <v>150000</v>
      </c>
      <c r="Q1241" s="245">
        <f>SUM(E1241:P1241)</f>
        <v>1650000</v>
      </c>
    </row>
    <row r="1242" spans="1:17" x14ac:dyDescent="0.2">
      <c r="A1242" s="222">
        <f>A1241+1</f>
        <v>25</v>
      </c>
      <c r="C1242" s="240" t="str">
        <f>'C'!B396</f>
        <v xml:space="preserve">    Over 150,000 Mcf</v>
      </c>
      <c r="D1242" s="512"/>
      <c r="E1242" s="515">
        <f>'C'!D404</f>
        <v>15000</v>
      </c>
      <c r="F1242" s="515">
        <f>'C'!E404</f>
        <v>5000</v>
      </c>
      <c r="G1242" s="515">
        <f>'C'!F404</f>
        <v>0</v>
      </c>
      <c r="H1242" s="515">
        <f>'C'!G404</f>
        <v>-12000</v>
      </c>
      <c r="I1242" s="515">
        <f>'C'!H404</f>
        <v>-19000</v>
      </c>
      <c r="J1242" s="515">
        <f>'C'!I404</f>
        <v>-28000</v>
      </c>
      <c r="K1242" s="515">
        <f>'C'!J404</f>
        <v>-28000</v>
      </c>
      <c r="L1242" s="515">
        <f>'C'!K404</f>
        <v>-28000</v>
      </c>
      <c r="M1242" s="515">
        <f>'C'!L404</f>
        <v>-10000</v>
      </c>
      <c r="N1242" s="515">
        <f>'C'!M404</f>
        <v>15000</v>
      </c>
      <c r="O1242" s="515">
        <f>'C'!N404</f>
        <v>10000</v>
      </c>
      <c r="P1242" s="515">
        <f>'C'!O404</f>
        <v>10000</v>
      </c>
      <c r="Q1242" s="464">
        <f>SUM(E1242:P1242)</f>
        <v>-70000</v>
      </c>
    </row>
    <row r="1243" spans="1:17" x14ac:dyDescent="0.2">
      <c r="C1243" s="240"/>
      <c r="D1243" s="512"/>
      <c r="E1243" s="293">
        <f t="shared" ref="E1243:O1243" si="370">SUM(E1241:E1242)</f>
        <v>165000</v>
      </c>
      <c r="F1243" s="293">
        <f t="shared" si="370"/>
        <v>155000</v>
      </c>
      <c r="G1243" s="293">
        <f t="shared" si="370"/>
        <v>140000</v>
      </c>
      <c r="H1243" s="293">
        <f t="shared" si="370"/>
        <v>128000</v>
      </c>
      <c r="I1243" s="293">
        <f t="shared" si="370"/>
        <v>111000</v>
      </c>
      <c r="J1243" s="293">
        <f t="shared" si="370"/>
        <v>102000</v>
      </c>
      <c r="K1243" s="293">
        <f t="shared" si="370"/>
        <v>102000</v>
      </c>
      <c r="L1243" s="293">
        <f t="shared" si="370"/>
        <v>102000</v>
      </c>
      <c r="M1243" s="293">
        <f t="shared" si="370"/>
        <v>120000</v>
      </c>
      <c r="N1243" s="293">
        <f t="shared" si="370"/>
        <v>145000</v>
      </c>
      <c r="O1243" s="293">
        <f t="shared" si="370"/>
        <v>150000</v>
      </c>
      <c r="P1243" s="293">
        <f>SUM(P1241:P1242)</f>
        <v>160000</v>
      </c>
      <c r="Q1243" s="245">
        <f>SUM(E1243:P1243)</f>
        <v>1580000</v>
      </c>
    </row>
    <row r="1244" spans="1:17" x14ac:dyDescent="0.2">
      <c r="A1244" s="222">
        <f>A1242+1</f>
        <v>26</v>
      </c>
      <c r="C1244" s="240" t="s">
        <v>207</v>
      </c>
      <c r="D1244" s="512"/>
      <c r="E1244" s="295"/>
      <c r="F1244" s="535"/>
      <c r="G1244" s="536"/>
      <c r="H1244" s="535"/>
      <c r="I1244" s="515"/>
      <c r="J1244" s="537"/>
      <c r="K1244" s="535"/>
      <c r="L1244" s="535"/>
      <c r="M1244" s="535"/>
      <c r="N1244" s="463"/>
      <c r="O1244" s="463"/>
      <c r="P1244" s="463"/>
      <c r="Q1244" s="412"/>
    </row>
    <row r="1245" spans="1:17" x14ac:dyDescent="0.2">
      <c r="A1245" s="222">
        <f>A1244+1</f>
        <v>27</v>
      </c>
      <c r="C1245" s="240" t="str">
        <f>C1241</f>
        <v xml:space="preserve">    First 150,000 Mcf</v>
      </c>
      <c r="D1245" s="782">
        <f>Input!C54</f>
        <v>0.28999999999999998</v>
      </c>
      <c r="E1245" s="427">
        <f t="shared" ref="E1245:P1245" si="371">ROUND(E1241*$D$1245,2)</f>
        <v>43500</v>
      </c>
      <c r="F1245" s="427">
        <f t="shared" si="371"/>
        <v>43500</v>
      </c>
      <c r="G1245" s="427">
        <f t="shared" si="371"/>
        <v>40600</v>
      </c>
      <c r="H1245" s="427">
        <f t="shared" si="371"/>
        <v>40600</v>
      </c>
      <c r="I1245" s="427">
        <f t="shared" si="371"/>
        <v>37700</v>
      </c>
      <c r="J1245" s="427">
        <f t="shared" si="371"/>
        <v>37700</v>
      </c>
      <c r="K1245" s="427">
        <f t="shared" si="371"/>
        <v>37700</v>
      </c>
      <c r="L1245" s="427">
        <f t="shared" si="371"/>
        <v>37700</v>
      </c>
      <c r="M1245" s="427">
        <f t="shared" si="371"/>
        <v>37700</v>
      </c>
      <c r="N1245" s="427">
        <f t="shared" si="371"/>
        <v>37700</v>
      </c>
      <c r="O1245" s="427">
        <f t="shared" si="371"/>
        <v>40600</v>
      </c>
      <c r="P1245" s="427">
        <f t="shared" si="371"/>
        <v>43500</v>
      </c>
      <c r="Q1245" s="427">
        <f>SUM(E1245:P1245)</f>
        <v>478500</v>
      </c>
    </row>
    <row r="1246" spans="1:17" x14ac:dyDescent="0.2">
      <c r="A1246" s="222">
        <f>A1245+1</f>
        <v>28</v>
      </c>
      <c r="C1246" s="240" t="str">
        <f>C1242</f>
        <v xml:space="preserve">    Over 150,000 Mcf</v>
      </c>
      <c r="D1246" s="782">
        <f>Input!D54</f>
        <v>0.16</v>
      </c>
      <c r="E1246" s="273">
        <f t="shared" ref="E1246:P1246" si="372">ROUND(E1242*$D$1246,2)</f>
        <v>2400</v>
      </c>
      <c r="F1246" s="273">
        <f t="shared" si="372"/>
        <v>800</v>
      </c>
      <c r="G1246" s="273">
        <f t="shared" si="372"/>
        <v>0</v>
      </c>
      <c r="H1246" s="273">
        <f t="shared" si="372"/>
        <v>-1920</v>
      </c>
      <c r="I1246" s="273">
        <f t="shared" si="372"/>
        <v>-3040</v>
      </c>
      <c r="J1246" s="273">
        <f t="shared" si="372"/>
        <v>-4480</v>
      </c>
      <c r="K1246" s="273">
        <f t="shared" si="372"/>
        <v>-4480</v>
      </c>
      <c r="L1246" s="273">
        <f t="shared" si="372"/>
        <v>-4480</v>
      </c>
      <c r="M1246" s="273">
        <f t="shared" si="372"/>
        <v>-1600</v>
      </c>
      <c r="N1246" s="273">
        <f t="shared" si="372"/>
        <v>2400</v>
      </c>
      <c r="O1246" s="273">
        <f t="shared" si="372"/>
        <v>1600</v>
      </c>
      <c r="P1246" s="273">
        <f t="shared" si="372"/>
        <v>1600</v>
      </c>
      <c r="Q1246" s="431">
        <f>SUM(E1246:P1246)</f>
        <v>-11200</v>
      </c>
    </row>
    <row r="1247" spans="1:17" x14ac:dyDescent="0.2">
      <c r="C1247" s="240"/>
      <c r="D1247" s="512"/>
      <c r="E1247" s="427">
        <f t="shared" ref="E1247:O1247" si="373">SUM(E1245:E1246)</f>
        <v>45900</v>
      </c>
      <c r="F1247" s="427">
        <f t="shared" si="373"/>
        <v>44300</v>
      </c>
      <c r="G1247" s="427">
        <f t="shared" si="373"/>
        <v>40600</v>
      </c>
      <c r="H1247" s="427">
        <f t="shared" si="373"/>
        <v>38680</v>
      </c>
      <c r="I1247" s="427">
        <f t="shared" si="373"/>
        <v>34660</v>
      </c>
      <c r="J1247" s="427">
        <f t="shared" si="373"/>
        <v>33220</v>
      </c>
      <c r="K1247" s="427">
        <f t="shared" si="373"/>
        <v>33220</v>
      </c>
      <c r="L1247" s="427">
        <f t="shared" si="373"/>
        <v>33220</v>
      </c>
      <c r="M1247" s="427">
        <f t="shared" si="373"/>
        <v>36100</v>
      </c>
      <c r="N1247" s="427">
        <f t="shared" si="373"/>
        <v>40100</v>
      </c>
      <c r="O1247" s="427">
        <f t="shared" si="373"/>
        <v>42200</v>
      </c>
      <c r="P1247" s="427">
        <f>SUM(P1245:P1246)</f>
        <v>45100</v>
      </c>
      <c r="Q1247" s="427">
        <f>SUM(E1247:P1247)</f>
        <v>467300</v>
      </c>
    </row>
    <row r="1248" spans="1:17" x14ac:dyDescent="0.2">
      <c r="C1248" s="240"/>
      <c r="D1248" s="512"/>
      <c r="E1248" s="466"/>
      <c r="F1248" s="538"/>
      <c r="G1248" s="538"/>
      <c r="H1248" s="538"/>
      <c r="I1248" s="538"/>
      <c r="J1248" s="533"/>
      <c r="K1248" s="538"/>
      <c r="L1248" s="538"/>
      <c r="M1248" s="538"/>
      <c r="N1248" s="484"/>
      <c r="O1248" s="484"/>
      <c r="P1248" s="484"/>
      <c r="Q1248" s="459"/>
    </row>
    <row r="1249" spans="1:17" x14ac:dyDescent="0.2">
      <c r="A1249" s="222">
        <f>A1246+1</f>
        <v>29</v>
      </c>
      <c r="C1249" s="240" t="s">
        <v>204</v>
      </c>
      <c r="D1249" s="286"/>
      <c r="E1249" s="427">
        <f>E1237+E1238+E1247</f>
        <v>46962.95</v>
      </c>
      <c r="F1249" s="427">
        <f t="shared" ref="F1249:P1249" si="374">F1237+F1238+F1247</f>
        <v>45362.95</v>
      </c>
      <c r="G1249" s="427">
        <f t="shared" si="374"/>
        <v>41662.949999999997</v>
      </c>
      <c r="H1249" s="427">
        <f t="shared" si="374"/>
        <v>39742.949999999997</v>
      </c>
      <c r="I1249" s="427">
        <f t="shared" si="374"/>
        <v>35722.949999999997</v>
      </c>
      <c r="J1249" s="427">
        <f t="shared" si="374"/>
        <v>34282.949999999997</v>
      </c>
      <c r="K1249" s="427">
        <f t="shared" si="374"/>
        <v>34282.949999999997</v>
      </c>
      <c r="L1249" s="427">
        <f t="shared" si="374"/>
        <v>34282.949999999997</v>
      </c>
      <c r="M1249" s="427">
        <f t="shared" si="374"/>
        <v>37162.949999999997</v>
      </c>
      <c r="N1249" s="427">
        <f t="shared" si="374"/>
        <v>41162.949999999997</v>
      </c>
      <c r="O1249" s="427">
        <f t="shared" si="374"/>
        <v>43262.95</v>
      </c>
      <c r="P1249" s="427">
        <f t="shared" si="374"/>
        <v>46162.95</v>
      </c>
      <c r="Q1249" s="427">
        <f>SUM(E1249:P1249)</f>
        <v>480055.40000000008</v>
      </c>
    </row>
    <row r="1250" spans="1:17" x14ac:dyDescent="0.2">
      <c r="C1250" s="240"/>
      <c r="D1250" s="286"/>
      <c r="E1250" s="466"/>
      <c r="F1250" s="538"/>
      <c r="G1250" s="538"/>
      <c r="H1250" s="538"/>
      <c r="I1250" s="538"/>
      <c r="J1250" s="533"/>
      <c r="K1250" s="538"/>
      <c r="L1250" s="538"/>
      <c r="M1250" s="538"/>
      <c r="N1250" s="484"/>
      <c r="O1250" s="484"/>
      <c r="P1250" s="484"/>
      <c r="Q1250" s="459"/>
    </row>
    <row r="1251" spans="1:17" x14ac:dyDescent="0.2">
      <c r="A1251" s="222">
        <f>A1249+1</f>
        <v>30</v>
      </c>
      <c r="C1251" s="219" t="s">
        <v>641</v>
      </c>
      <c r="D1251" s="783"/>
      <c r="E1251" s="510">
        <v>0</v>
      </c>
      <c r="F1251" s="510">
        <v>0</v>
      </c>
      <c r="G1251" s="510">
        <v>0</v>
      </c>
      <c r="H1251" s="510">
        <v>0</v>
      </c>
      <c r="I1251" s="510">
        <v>0</v>
      </c>
      <c r="J1251" s="510">
        <v>0</v>
      </c>
      <c r="K1251" s="510">
        <v>0</v>
      </c>
      <c r="L1251" s="510">
        <v>0</v>
      </c>
      <c r="M1251" s="510">
        <v>0</v>
      </c>
      <c r="N1251" s="510">
        <v>0</v>
      </c>
      <c r="O1251" s="510">
        <v>0</v>
      </c>
      <c r="P1251" s="510">
        <v>185945</v>
      </c>
      <c r="Q1251" s="510">
        <f>SUM(E1251:P1251)</f>
        <v>185945</v>
      </c>
    </row>
    <row r="1252" spans="1:17" x14ac:dyDescent="0.2">
      <c r="E1252" s="466"/>
      <c r="F1252" s="466"/>
      <c r="G1252" s="466"/>
      <c r="H1252" s="466"/>
      <c r="I1252" s="466"/>
      <c r="J1252" s="466"/>
      <c r="K1252" s="466"/>
      <c r="L1252" s="466"/>
      <c r="M1252" s="466"/>
      <c r="N1252" s="459"/>
      <c r="O1252" s="459"/>
      <c r="P1252" s="459"/>
      <c r="Q1252" s="459"/>
    </row>
    <row r="1253" spans="1:17" ht="10.8" thickBot="1" x14ac:dyDescent="0.25">
      <c r="A1253" s="446">
        <f>A1251+1</f>
        <v>31</v>
      </c>
      <c r="B1253" s="447"/>
      <c r="C1253" s="447" t="s">
        <v>205</v>
      </c>
      <c r="D1253" s="449"/>
      <c r="E1253" s="492">
        <f>E1249+E1251</f>
        <v>46962.95</v>
      </c>
      <c r="F1253" s="492">
        <f t="shared" ref="F1253:O1253" si="375">F1249+F1251</f>
        <v>45362.95</v>
      </c>
      <c r="G1253" s="492">
        <f t="shared" si="375"/>
        <v>41662.949999999997</v>
      </c>
      <c r="H1253" s="492">
        <f t="shared" si="375"/>
        <v>39742.949999999997</v>
      </c>
      <c r="I1253" s="492">
        <f t="shared" si="375"/>
        <v>35722.949999999997</v>
      </c>
      <c r="J1253" s="492">
        <f t="shared" si="375"/>
        <v>34282.949999999997</v>
      </c>
      <c r="K1253" s="492">
        <f t="shared" si="375"/>
        <v>34282.949999999997</v>
      </c>
      <c r="L1253" s="492">
        <f t="shared" si="375"/>
        <v>34282.949999999997</v>
      </c>
      <c r="M1253" s="492">
        <f t="shared" si="375"/>
        <v>37162.949999999997</v>
      </c>
      <c r="N1253" s="492">
        <f t="shared" si="375"/>
        <v>41162.949999999997</v>
      </c>
      <c r="O1253" s="492">
        <f t="shared" si="375"/>
        <v>43262.95</v>
      </c>
      <c r="P1253" s="492">
        <f>P1249+P1251</f>
        <v>232107.95</v>
      </c>
      <c r="Q1253" s="492">
        <f>Q1249+Q1251</f>
        <v>666000.40000000014</v>
      </c>
    </row>
    <row r="1254" spans="1:17" ht="10.8" thickTop="1" x14ac:dyDescent="0.2">
      <c r="C1254" s="301"/>
    </row>
    <row r="1255" spans="1:17" x14ac:dyDescent="0.2">
      <c r="C1255" s="301"/>
      <c r="E1255" s="526"/>
    </row>
    <row r="1256" spans="1:17" x14ac:dyDescent="0.2">
      <c r="A1256" s="222" t="str">
        <f>$A$270</f>
        <v>[1] Reflects Normalized Volumes.</v>
      </c>
    </row>
    <row r="1258" spans="1:17" ht="10.8" thickBot="1" x14ac:dyDescent="0.25"/>
    <row r="1259" spans="1:17" x14ac:dyDescent="0.2">
      <c r="C1259" s="439"/>
      <c r="D1259" s="539"/>
      <c r="E1259" s="440"/>
      <c r="F1259" s="540"/>
      <c r="G1259" s="541"/>
      <c r="H1259" s="540"/>
      <c r="I1259" s="542"/>
      <c r="J1259" s="540"/>
      <c r="K1259" s="540"/>
      <c r="L1259" s="540"/>
      <c r="M1259" s="540"/>
      <c r="N1259" s="540"/>
      <c r="O1259" s="540"/>
      <c r="P1259" s="540"/>
      <c r="Q1259" s="441"/>
    </row>
    <row r="1260" spans="1:17" x14ac:dyDescent="0.2">
      <c r="C1260" s="442" t="s">
        <v>300</v>
      </c>
      <c r="D1260" s="494" t="s">
        <v>377</v>
      </c>
      <c r="E1260" s="301"/>
      <c r="F1260" s="415"/>
      <c r="G1260" s="435"/>
      <c r="H1260" s="415"/>
      <c r="I1260" s="436"/>
      <c r="J1260" s="415"/>
      <c r="K1260" s="415"/>
      <c r="L1260" s="415"/>
      <c r="M1260" s="415"/>
      <c r="N1260" s="415"/>
      <c r="O1260" s="415"/>
      <c r="P1260" s="415"/>
      <c r="Q1260" s="443"/>
    </row>
    <row r="1261" spans="1:17" x14ac:dyDescent="0.2">
      <c r="C1261" s="445"/>
      <c r="D1261" s="300" t="s">
        <v>341</v>
      </c>
      <c r="E1261" s="499">
        <f t="shared" ref="E1261:P1261" si="376">E401+E461++E478+E495+E529+E546+E596+E619</f>
        <v>1489612.52</v>
      </c>
      <c r="F1261" s="499">
        <f t="shared" si="376"/>
        <v>1492372.52</v>
      </c>
      <c r="G1261" s="499">
        <f t="shared" si="376"/>
        <v>1493407.52</v>
      </c>
      <c r="H1261" s="499">
        <f t="shared" si="376"/>
        <v>1493107.52</v>
      </c>
      <c r="I1261" s="499">
        <f t="shared" si="376"/>
        <v>1485877.52</v>
      </c>
      <c r="J1261" s="499">
        <f t="shared" si="376"/>
        <v>1471687.52</v>
      </c>
      <c r="K1261" s="499">
        <f t="shared" si="376"/>
        <v>1458862.52</v>
      </c>
      <c r="L1261" s="499">
        <f t="shared" si="376"/>
        <v>1464532.52</v>
      </c>
      <c r="M1261" s="499">
        <f t="shared" si="376"/>
        <v>1454962.52</v>
      </c>
      <c r="N1261" s="499">
        <f t="shared" si="376"/>
        <v>1454602.52</v>
      </c>
      <c r="O1261" s="499">
        <f t="shared" si="376"/>
        <v>1470142.52</v>
      </c>
      <c r="P1261" s="499">
        <f t="shared" si="376"/>
        <v>1484152.52</v>
      </c>
      <c r="Q1261" s="543">
        <f t="shared" ref="Q1261:Q1267" si="377">SUM(E1261:P1261)</f>
        <v>17713320.239999998</v>
      </c>
    </row>
    <row r="1262" spans="1:17" x14ac:dyDescent="0.2">
      <c r="C1262" s="445"/>
      <c r="D1262" s="300" t="s">
        <v>340</v>
      </c>
      <c r="E1262" s="499">
        <f t="shared" ref="E1262:P1262" si="378">E402+E462++E479+E496+E530+E547+E597+E620</f>
        <v>223400.25</v>
      </c>
      <c r="F1262" s="499">
        <f t="shared" si="378"/>
        <v>223814.25</v>
      </c>
      <c r="G1262" s="499">
        <f t="shared" si="378"/>
        <v>223969.5</v>
      </c>
      <c r="H1262" s="499">
        <f t="shared" si="378"/>
        <v>223924.5</v>
      </c>
      <c r="I1262" s="499">
        <f t="shared" si="378"/>
        <v>222840</v>
      </c>
      <c r="J1262" s="499">
        <f t="shared" si="378"/>
        <v>220711.5</v>
      </c>
      <c r="K1262" s="499">
        <f t="shared" si="378"/>
        <v>218787.75</v>
      </c>
      <c r="L1262" s="499">
        <f t="shared" si="378"/>
        <v>219638.25</v>
      </c>
      <c r="M1262" s="499">
        <f t="shared" si="378"/>
        <v>218202.75</v>
      </c>
      <c r="N1262" s="499">
        <f t="shared" si="378"/>
        <v>218148.75</v>
      </c>
      <c r="O1262" s="499">
        <f t="shared" si="378"/>
        <v>220479.75</v>
      </c>
      <c r="P1262" s="499">
        <f t="shared" si="378"/>
        <v>222581.25</v>
      </c>
      <c r="Q1262" s="543">
        <f t="shared" si="377"/>
        <v>2656498.5</v>
      </c>
    </row>
    <row r="1263" spans="1:17" x14ac:dyDescent="0.2">
      <c r="C1263" s="445"/>
      <c r="D1263" s="300" t="s">
        <v>378</v>
      </c>
      <c r="E1263" s="499">
        <f t="shared" ref="E1263:P1263" si="379">E405+E464+E481+E498+E532+E549+E605+E622</f>
        <v>3020514.56</v>
      </c>
      <c r="F1263" s="499">
        <f t="shared" si="379"/>
        <v>2927748.9</v>
      </c>
      <c r="G1263" s="499">
        <f t="shared" si="379"/>
        <v>2195938.5100000002</v>
      </c>
      <c r="H1263" s="499">
        <f t="shared" si="379"/>
        <v>1253040.96</v>
      </c>
      <c r="I1263" s="499">
        <f t="shared" si="379"/>
        <v>589103.84</v>
      </c>
      <c r="J1263" s="499">
        <f t="shared" si="379"/>
        <v>280977.00999999995</v>
      </c>
      <c r="K1263" s="499">
        <f t="shared" si="379"/>
        <v>201656.79</v>
      </c>
      <c r="L1263" s="499">
        <f t="shared" si="379"/>
        <v>194886.69</v>
      </c>
      <c r="M1263" s="499">
        <f t="shared" si="379"/>
        <v>201654.88999999998</v>
      </c>
      <c r="N1263" s="499">
        <f t="shared" si="379"/>
        <v>321626.19</v>
      </c>
      <c r="O1263" s="499">
        <f t="shared" si="379"/>
        <v>926590.65999999992</v>
      </c>
      <c r="P1263" s="499">
        <f t="shared" si="379"/>
        <v>2055288.74</v>
      </c>
      <c r="Q1263" s="543">
        <f t="shared" si="377"/>
        <v>14169027.739999998</v>
      </c>
    </row>
    <row r="1264" spans="1:17" x14ac:dyDescent="0.2">
      <c r="C1264" s="445"/>
      <c r="D1264" s="300" t="s">
        <v>344</v>
      </c>
      <c r="E1264" s="499">
        <f t="shared" ref="E1264:P1264" si="380">E409+E468+E485+E502+E536+E553+E609++E626</f>
        <v>2943328.4000000004</v>
      </c>
      <c r="F1264" s="499">
        <f t="shared" si="380"/>
        <v>2853047.57</v>
      </c>
      <c r="G1264" s="499">
        <f t="shared" si="380"/>
        <v>2139916.29</v>
      </c>
      <c r="H1264" s="499">
        <f t="shared" si="380"/>
        <v>1221031.8699999999</v>
      </c>
      <c r="I1264" s="499">
        <f t="shared" si="380"/>
        <v>574051.21000000008</v>
      </c>
      <c r="J1264" s="499">
        <f t="shared" si="380"/>
        <v>273806.23000000004</v>
      </c>
      <c r="K1264" s="499">
        <f t="shared" si="380"/>
        <v>196508.5</v>
      </c>
      <c r="L1264" s="499">
        <f t="shared" si="380"/>
        <v>189912.57</v>
      </c>
      <c r="M1264" s="499">
        <f t="shared" si="380"/>
        <v>196502.31999999998</v>
      </c>
      <c r="N1264" s="499">
        <f t="shared" si="380"/>
        <v>313365.92</v>
      </c>
      <c r="O1264" s="499">
        <f t="shared" si="380"/>
        <v>902862.71</v>
      </c>
      <c r="P1264" s="499">
        <f t="shared" si="380"/>
        <v>2002761</v>
      </c>
      <c r="Q1264" s="543">
        <f t="shared" si="377"/>
        <v>13807094.590000004</v>
      </c>
    </row>
    <row r="1265" spans="3:18" x14ac:dyDescent="0.2">
      <c r="C1265" s="445"/>
      <c r="D1265" s="301" t="s">
        <v>379</v>
      </c>
      <c r="E1265" s="499">
        <f t="shared" ref="E1265:P1265" si="381">E414</f>
        <v>68509.41</v>
      </c>
      <c r="F1265" s="499">
        <f t="shared" si="381"/>
        <v>68636.37</v>
      </c>
      <c r="G1265" s="499">
        <f t="shared" si="381"/>
        <v>68683.98</v>
      </c>
      <c r="H1265" s="499">
        <f t="shared" si="381"/>
        <v>68670.179999999993</v>
      </c>
      <c r="I1265" s="499">
        <f t="shared" si="381"/>
        <v>68337.600000000006</v>
      </c>
      <c r="J1265" s="499">
        <f t="shared" si="381"/>
        <v>67684.86</v>
      </c>
      <c r="K1265" s="499">
        <f t="shared" si="381"/>
        <v>67094.91</v>
      </c>
      <c r="L1265" s="499">
        <f t="shared" si="381"/>
        <v>67355.73</v>
      </c>
      <c r="M1265" s="499">
        <f t="shared" si="381"/>
        <v>66915.509999999995</v>
      </c>
      <c r="N1265" s="499">
        <f t="shared" si="381"/>
        <v>66898.95</v>
      </c>
      <c r="O1265" s="499">
        <f t="shared" si="381"/>
        <v>67613.789999999994</v>
      </c>
      <c r="P1265" s="499">
        <f t="shared" si="381"/>
        <v>68258.25</v>
      </c>
      <c r="Q1265" s="543">
        <f t="shared" si="377"/>
        <v>814659.54</v>
      </c>
    </row>
    <row r="1266" spans="3:18" x14ac:dyDescent="0.2">
      <c r="C1266" s="445"/>
      <c r="D1266" s="301" t="s">
        <v>380</v>
      </c>
      <c r="E1266" s="499">
        <f t="shared" ref="E1266:P1266" si="382">E415</f>
        <v>21310.51</v>
      </c>
      <c r="F1266" s="499">
        <f t="shared" si="382"/>
        <v>20658.43</v>
      </c>
      <c r="G1266" s="499">
        <f t="shared" si="382"/>
        <v>15494.45</v>
      </c>
      <c r="H1266" s="499">
        <f t="shared" si="382"/>
        <v>8840.85</v>
      </c>
      <c r="I1266" s="499">
        <f t="shared" si="382"/>
        <v>4156.42</v>
      </c>
      <c r="J1266" s="499">
        <f t="shared" si="382"/>
        <v>1982.58</v>
      </c>
      <c r="K1266" s="499">
        <f t="shared" si="382"/>
        <v>1422.88</v>
      </c>
      <c r="L1266" s="499">
        <f t="shared" si="382"/>
        <v>1375.05</v>
      </c>
      <c r="M1266" s="499">
        <f t="shared" si="382"/>
        <v>1422.77</v>
      </c>
      <c r="N1266" s="499">
        <f t="shared" si="382"/>
        <v>2268.5500000000002</v>
      </c>
      <c r="O1266" s="499">
        <f t="shared" si="382"/>
        <v>6536.68</v>
      </c>
      <c r="P1266" s="499">
        <f t="shared" si="382"/>
        <v>14500.12</v>
      </c>
      <c r="Q1266" s="543">
        <f t="shared" si="377"/>
        <v>99969.290000000008</v>
      </c>
    </row>
    <row r="1267" spans="3:18" ht="12" x14ac:dyDescent="0.35">
      <c r="C1267" s="445"/>
      <c r="D1267" s="301" t="s">
        <v>381</v>
      </c>
      <c r="E1267" s="544">
        <f t="shared" ref="E1267:P1267" si="383">E416</f>
        <v>79514.850000000006</v>
      </c>
      <c r="F1267" s="544">
        <f t="shared" si="383"/>
        <v>77081.759999999995</v>
      </c>
      <c r="G1267" s="544">
        <f t="shared" si="383"/>
        <v>57813.66</v>
      </c>
      <c r="H1267" s="544">
        <f t="shared" si="383"/>
        <v>32987.440000000002</v>
      </c>
      <c r="I1267" s="544">
        <f t="shared" si="383"/>
        <v>15508.65</v>
      </c>
      <c r="J1267" s="544">
        <f t="shared" si="383"/>
        <v>7397.5</v>
      </c>
      <c r="K1267" s="544">
        <f t="shared" si="383"/>
        <v>5309.12</v>
      </c>
      <c r="L1267" s="544">
        <f t="shared" si="383"/>
        <v>5130.66</v>
      </c>
      <c r="M1267" s="544">
        <f t="shared" si="383"/>
        <v>5308.7</v>
      </c>
      <c r="N1267" s="544">
        <f t="shared" si="383"/>
        <v>8464.52</v>
      </c>
      <c r="O1267" s="544">
        <f t="shared" si="383"/>
        <v>24389.98</v>
      </c>
      <c r="P1267" s="544">
        <f t="shared" si="383"/>
        <v>54103.55</v>
      </c>
      <c r="Q1267" s="545">
        <f t="shared" si="377"/>
        <v>373010.38999999996</v>
      </c>
    </row>
    <row r="1268" spans="3:18" x14ac:dyDescent="0.2">
      <c r="C1268" s="445"/>
      <c r="D1268" s="301"/>
      <c r="E1268" s="499">
        <f>SUM(E1261:E1267)</f>
        <v>7846190.5</v>
      </c>
      <c r="F1268" s="499">
        <f t="shared" ref="F1268:Q1268" si="384">SUM(F1261:F1267)</f>
        <v>7663359.7999999998</v>
      </c>
      <c r="G1268" s="499">
        <f t="shared" si="384"/>
        <v>6195223.9100000011</v>
      </c>
      <c r="H1268" s="499">
        <f t="shared" si="384"/>
        <v>4301603.3199999994</v>
      </c>
      <c r="I1268" s="499">
        <f t="shared" si="384"/>
        <v>2959875.2399999998</v>
      </c>
      <c r="J1268" s="499">
        <f t="shared" si="384"/>
        <v>2324247.2000000002</v>
      </c>
      <c r="K1268" s="499">
        <f t="shared" si="384"/>
        <v>2149642.4700000002</v>
      </c>
      <c r="L1268" s="499">
        <f t="shared" si="384"/>
        <v>2142831.4700000002</v>
      </c>
      <c r="M1268" s="499">
        <f t="shared" si="384"/>
        <v>2144969.46</v>
      </c>
      <c r="N1268" s="499">
        <f t="shared" si="384"/>
        <v>2385375.4</v>
      </c>
      <c r="O1268" s="499">
        <f t="shared" si="384"/>
        <v>3618616.09</v>
      </c>
      <c r="P1268" s="499">
        <f t="shared" si="384"/>
        <v>5901645.4299999997</v>
      </c>
      <c r="Q1268" s="543">
        <f t="shared" si="384"/>
        <v>49633580.289999999</v>
      </c>
      <c r="R1268" s="505">
        <f>SUM(Q1261:Q1265,Q1267)</f>
        <v>49533611</v>
      </c>
    </row>
    <row r="1269" spans="3:18" x14ac:dyDescent="0.2">
      <c r="C1269" s="445"/>
      <c r="D1269" s="301"/>
      <c r="E1269" s="499"/>
      <c r="F1269" s="499"/>
      <c r="G1269" s="499"/>
      <c r="H1269" s="499"/>
      <c r="I1269" s="499"/>
      <c r="J1269" s="499"/>
      <c r="K1269" s="499"/>
      <c r="L1269" s="499"/>
      <c r="M1269" s="499"/>
      <c r="N1269" s="499"/>
      <c r="O1269" s="499"/>
      <c r="P1269" s="499"/>
      <c r="Q1269" s="543"/>
    </row>
    <row r="1270" spans="3:18" x14ac:dyDescent="0.2">
      <c r="C1270" s="445"/>
      <c r="D1270" s="494" t="s">
        <v>382</v>
      </c>
      <c r="E1270" s="499"/>
      <c r="F1270" s="499"/>
      <c r="G1270" s="499"/>
      <c r="H1270" s="499"/>
      <c r="I1270" s="499"/>
      <c r="J1270" s="499"/>
      <c r="K1270" s="499"/>
      <c r="L1270" s="499"/>
      <c r="M1270" s="499"/>
      <c r="N1270" s="499"/>
      <c r="O1270" s="499"/>
      <c r="P1270" s="499"/>
      <c r="Q1270" s="543"/>
    </row>
    <row r="1271" spans="3:18" x14ac:dyDescent="0.2">
      <c r="C1271" s="445"/>
      <c r="D1271" s="300" t="s">
        <v>341</v>
      </c>
      <c r="E1271" s="499">
        <f>E427+E563+E652</f>
        <v>382933.26</v>
      </c>
      <c r="F1271" s="499">
        <f t="shared" ref="F1271:Q1271" si="385">F427+F563+F652</f>
        <v>385333.26</v>
      </c>
      <c r="G1271" s="499">
        <f t="shared" si="385"/>
        <v>376540.18</v>
      </c>
      <c r="H1271" s="499">
        <f t="shared" si="385"/>
        <v>375340.18</v>
      </c>
      <c r="I1271" s="499">
        <f t="shared" si="385"/>
        <v>370802.68</v>
      </c>
      <c r="J1271" s="499">
        <f t="shared" si="385"/>
        <v>366977.68</v>
      </c>
      <c r="K1271" s="499">
        <f t="shared" si="385"/>
        <v>367090.18</v>
      </c>
      <c r="L1271" s="499">
        <f t="shared" si="385"/>
        <v>366545.76</v>
      </c>
      <c r="M1271" s="499">
        <f t="shared" si="385"/>
        <v>365383.26</v>
      </c>
      <c r="N1271" s="499">
        <f t="shared" si="385"/>
        <v>366620.76</v>
      </c>
      <c r="O1271" s="499">
        <f t="shared" si="385"/>
        <v>371983.26</v>
      </c>
      <c r="P1271" s="499">
        <f t="shared" si="385"/>
        <v>378020.76</v>
      </c>
      <c r="Q1271" s="499">
        <f t="shared" si="385"/>
        <v>4473571.22</v>
      </c>
    </row>
    <row r="1272" spans="3:18" x14ac:dyDescent="0.2">
      <c r="C1272" s="445"/>
      <c r="D1272" s="300" t="s">
        <v>340</v>
      </c>
      <c r="E1272" s="499">
        <f t="shared" ref="E1272" si="386">E653</f>
        <v>81860.14</v>
      </c>
      <c r="F1272" s="499">
        <f t="shared" ref="F1272:Q1272" si="387">F653</f>
        <v>82373.42</v>
      </c>
      <c r="G1272" s="499">
        <f t="shared" si="387"/>
        <v>80480.7</v>
      </c>
      <c r="H1272" s="499">
        <f t="shared" si="387"/>
        <v>80224.06</v>
      </c>
      <c r="I1272" s="499">
        <f t="shared" si="387"/>
        <v>79253.64</v>
      </c>
      <c r="J1272" s="499">
        <f t="shared" si="387"/>
        <v>78435.600000000006</v>
      </c>
      <c r="K1272" s="499">
        <f t="shared" si="387"/>
        <v>78459.66</v>
      </c>
      <c r="L1272" s="499">
        <f t="shared" si="387"/>
        <v>78355.399999999994</v>
      </c>
      <c r="M1272" s="499">
        <f t="shared" si="387"/>
        <v>78106.78</v>
      </c>
      <c r="N1272" s="499">
        <f t="shared" si="387"/>
        <v>78371.44</v>
      </c>
      <c r="O1272" s="499">
        <f t="shared" si="387"/>
        <v>79518.3</v>
      </c>
      <c r="P1272" s="499">
        <f t="shared" si="387"/>
        <v>80809.52</v>
      </c>
      <c r="Q1272" s="499">
        <f t="shared" si="387"/>
        <v>956248.66000000015</v>
      </c>
    </row>
    <row r="1273" spans="3:18" x14ac:dyDescent="0.2">
      <c r="C1273" s="445"/>
      <c r="D1273" s="300" t="s">
        <v>378</v>
      </c>
      <c r="E1273" s="499">
        <f>E430+E566+E666</f>
        <v>1282117.94</v>
      </c>
      <c r="F1273" s="499">
        <f t="shared" ref="F1273:Q1273" si="388">F430+F566+F666</f>
        <v>1279706.9899999998</v>
      </c>
      <c r="G1273" s="499">
        <f t="shared" si="388"/>
        <v>913104.03</v>
      </c>
      <c r="H1273" s="499">
        <f t="shared" si="388"/>
        <v>560621.77</v>
      </c>
      <c r="I1273" s="499">
        <f t="shared" si="388"/>
        <v>274061.77999999997</v>
      </c>
      <c r="J1273" s="499">
        <f t="shared" si="388"/>
        <v>166245.19999999998</v>
      </c>
      <c r="K1273" s="499">
        <f t="shared" si="388"/>
        <v>119020.76000000001</v>
      </c>
      <c r="L1273" s="499">
        <f t="shared" si="388"/>
        <v>111058.33</v>
      </c>
      <c r="M1273" s="499">
        <f t="shared" si="388"/>
        <v>109360.22</v>
      </c>
      <c r="N1273" s="499">
        <f t="shared" si="388"/>
        <v>160600.69000000003</v>
      </c>
      <c r="O1273" s="499">
        <f t="shared" si="388"/>
        <v>348605.68</v>
      </c>
      <c r="P1273" s="499">
        <f t="shared" si="388"/>
        <v>837423.03999999992</v>
      </c>
      <c r="Q1273" s="499">
        <f t="shared" si="388"/>
        <v>6161926.4300000016</v>
      </c>
    </row>
    <row r="1274" spans="3:18" x14ac:dyDescent="0.2">
      <c r="C1274" s="445"/>
      <c r="D1274" s="300" t="s">
        <v>344</v>
      </c>
      <c r="E1274" s="499">
        <f>E434+E570+E670</f>
        <v>1460319.3699999999</v>
      </c>
      <c r="F1274" s="499">
        <f t="shared" ref="F1274:Q1274" si="389">F434+F570+F670</f>
        <v>1447923</v>
      </c>
      <c r="G1274" s="499">
        <f t="shared" si="389"/>
        <v>1010046.03</v>
      </c>
      <c r="H1274" s="499">
        <f t="shared" si="389"/>
        <v>612970.47</v>
      </c>
      <c r="I1274" s="499">
        <f t="shared" si="389"/>
        <v>297232.42000000004</v>
      </c>
      <c r="J1274" s="499">
        <f t="shared" si="389"/>
        <v>178354.56</v>
      </c>
      <c r="K1274" s="499">
        <f t="shared" si="389"/>
        <v>125383.20999999999</v>
      </c>
      <c r="L1274" s="499">
        <f t="shared" si="389"/>
        <v>116645.78</v>
      </c>
      <c r="M1274" s="499">
        <f t="shared" si="389"/>
        <v>114453.47</v>
      </c>
      <c r="N1274" s="499">
        <f t="shared" si="389"/>
        <v>170468.07</v>
      </c>
      <c r="O1274" s="499">
        <f t="shared" si="389"/>
        <v>378019.43</v>
      </c>
      <c r="P1274" s="499">
        <f t="shared" si="389"/>
        <v>936201.78</v>
      </c>
      <c r="Q1274" s="499">
        <f t="shared" si="389"/>
        <v>6848017.5900000008</v>
      </c>
    </row>
    <row r="1275" spans="3:18" ht="12" x14ac:dyDescent="0.35">
      <c r="C1275" s="445"/>
      <c r="D1275" s="301" t="s">
        <v>383</v>
      </c>
      <c r="E1275" s="544">
        <f t="shared" ref="E1275" si="390">E675</f>
        <v>10571.84</v>
      </c>
      <c r="F1275" s="544">
        <f t="shared" ref="F1275:Q1275" si="391">F675</f>
        <v>10480.969999999999</v>
      </c>
      <c r="G1275" s="544">
        <f t="shared" si="391"/>
        <v>7309.56</v>
      </c>
      <c r="H1275" s="544">
        <f t="shared" si="391"/>
        <v>4436.83</v>
      </c>
      <c r="I1275" s="544">
        <f t="shared" si="391"/>
        <v>2151.6799999999998</v>
      </c>
      <c r="J1275" s="544">
        <f t="shared" si="391"/>
        <v>1291.49</v>
      </c>
      <c r="K1275" s="544">
        <f t="shared" si="391"/>
        <v>907.66</v>
      </c>
      <c r="L1275" s="544">
        <f t="shared" si="391"/>
        <v>844.57</v>
      </c>
      <c r="M1275" s="544">
        <f t="shared" si="391"/>
        <v>828.82</v>
      </c>
      <c r="N1275" s="544">
        <f t="shared" si="391"/>
        <v>1234.31</v>
      </c>
      <c r="O1275" s="544">
        <f t="shared" si="391"/>
        <v>2736.57</v>
      </c>
      <c r="P1275" s="544">
        <f t="shared" si="391"/>
        <v>6777.13</v>
      </c>
      <c r="Q1275" s="544">
        <f t="shared" si="391"/>
        <v>49571.429999999993</v>
      </c>
    </row>
    <row r="1276" spans="3:18" x14ac:dyDescent="0.2">
      <c r="C1276" s="445"/>
      <c r="D1276" s="301"/>
      <c r="E1276" s="499">
        <f>SUM(E1271:E1275)</f>
        <v>3217802.55</v>
      </c>
      <c r="F1276" s="499">
        <f t="shared" ref="F1276:Q1276" si="392">SUM(F1271:F1275)</f>
        <v>3205817.64</v>
      </c>
      <c r="G1276" s="499">
        <f t="shared" si="392"/>
        <v>2387480.5000000005</v>
      </c>
      <c r="H1276" s="499">
        <f t="shared" si="392"/>
        <v>1633593.31</v>
      </c>
      <c r="I1276" s="499">
        <f t="shared" si="392"/>
        <v>1023502.2000000001</v>
      </c>
      <c r="J1276" s="499">
        <f t="shared" si="392"/>
        <v>791304.53</v>
      </c>
      <c r="K1276" s="499">
        <f t="shared" si="392"/>
        <v>690861.47</v>
      </c>
      <c r="L1276" s="499">
        <f t="shared" si="392"/>
        <v>673449.84</v>
      </c>
      <c r="M1276" s="499">
        <f t="shared" si="392"/>
        <v>668132.54999999993</v>
      </c>
      <c r="N1276" s="499">
        <f t="shared" si="392"/>
        <v>777295.27</v>
      </c>
      <c r="O1276" s="499">
        <f t="shared" si="392"/>
        <v>1180863.24</v>
      </c>
      <c r="P1276" s="499">
        <f t="shared" si="392"/>
        <v>2239232.2299999995</v>
      </c>
      <c r="Q1276" s="543">
        <f t="shared" si="392"/>
        <v>18489335.330000002</v>
      </c>
    </row>
    <row r="1277" spans="3:18" x14ac:dyDescent="0.2">
      <c r="C1277" s="445"/>
      <c r="D1277" s="301"/>
      <c r="E1277" s="499"/>
      <c r="F1277" s="499"/>
      <c r="G1277" s="499"/>
      <c r="H1277" s="499"/>
      <c r="I1277" s="499"/>
      <c r="J1277" s="499"/>
      <c r="K1277" s="499"/>
      <c r="L1277" s="499"/>
      <c r="M1277" s="499"/>
      <c r="N1277" s="499"/>
      <c r="O1277" s="499"/>
      <c r="P1277" s="499"/>
      <c r="Q1277" s="543"/>
    </row>
    <row r="1278" spans="3:18" x14ac:dyDescent="0.2">
      <c r="C1278" s="445"/>
      <c r="D1278" s="494" t="s">
        <v>384</v>
      </c>
      <c r="E1278" s="499"/>
      <c r="F1278" s="499"/>
      <c r="G1278" s="499"/>
      <c r="H1278" s="499"/>
      <c r="I1278" s="499"/>
      <c r="J1278" s="499"/>
      <c r="K1278" s="499"/>
      <c r="L1278" s="499"/>
      <c r="M1278" s="499"/>
      <c r="N1278" s="499"/>
      <c r="O1278" s="499"/>
      <c r="P1278" s="499"/>
      <c r="Q1278" s="543"/>
    </row>
    <row r="1279" spans="3:18" x14ac:dyDescent="0.2">
      <c r="C1279" s="445"/>
      <c r="D1279" s="300" t="s">
        <v>341</v>
      </c>
      <c r="E1279" s="499">
        <f t="shared" ref="E1279:P1279" si="393">E702+E753</f>
        <v>1612.5</v>
      </c>
      <c r="F1279" s="499">
        <f t="shared" si="393"/>
        <v>1612.5</v>
      </c>
      <c r="G1279" s="499">
        <f t="shared" si="393"/>
        <v>1612.5</v>
      </c>
      <c r="H1279" s="499">
        <f t="shared" si="393"/>
        <v>1612.5</v>
      </c>
      <c r="I1279" s="499">
        <f t="shared" si="393"/>
        <v>1612.5</v>
      </c>
      <c r="J1279" s="499">
        <f t="shared" si="393"/>
        <v>1650</v>
      </c>
      <c r="K1279" s="499">
        <f t="shared" si="393"/>
        <v>1650</v>
      </c>
      <c r="L1279" s="499">
        <f t="shared" si="393"/>
        <v>1687.5</v>
      </c>
      <c r="M1279" s="499">
        <f t="shared" si="393"/>
        <v>1650</v>
      </c>
      <c r="N1279" s="499">
        <f t="shared" si="393"/>
        <v>1650</v>
      </c>
      <c r="O1279" s="499">
        <f t="shared" si="393"/>
        <v>1650</v>
      </c>
      <c r="P1279" s="499">
        <f t="shared" si="393"/>
        <v>1650</v>
      </c>
      <c r="Q1279" s="543">
        <f>SUM(E1279:P1279)</f>
        <v>19650</v>
      </c>
    </row>
    <row r="1280" spans="3:18" x14ac:dyDescent="0.2">
      <c r="C1280" s="445"/>
      <c r="D1280" s="300" t="s">
        <v>340</v>
      </c>
      <c r="E1280" s="499">
        <f t="shared" ref="E1280:P1280" si="394">E703+E754</f>
        <v>344.86</v>
      </c>
      <c r="F1280" s="499">
        <f t="shared" si="394"/>
        <v>344.86</v>
      </c>
      <c r="G1280" s="499">
        <f t="shared" si="394"/>
        <v>344.86</v>
      </c>
      <c r="H1280" s="499">
        <f t="shared" si="394"/>
        <v>344.86</v>
      </c>
      <c r="I1280" s="499">
        <f t="shared" si="394"/>
        <v>344.86</v>
      </c>
      <c r="J1280" s="499">
        <f t="shared" si="394"/>
        <v>352.88</v>
      </c>
      <c r="K1280" s="499">
        <f t="shared" si="394"/>
        <v>352.88</v>
      </c>
      <c r="L1280" s="499">
        <f t="shared" si="394"/>
        <v>360.9</v>
      </c>
      <c r="M1280" s="499">
        <f t="shared" si="394"/>
        <v>352.88</v>
      </c>
      <c r="N1280" s="499">
        <f t="shared" si="394"/>
        <v>352.88</v>
      </c>
      <c r="O1280" s="499">
        <f t="shared" si="394"/>
        <v>352.88</v>
      </c>
      <c r="P1280" s="499">
        <f t="shared" si="394"/>
        <v>352.88</v>
      </c>
      <c r="Q1280" s="543">
        <f>SUM(E1280:P1280)</f>
        <v>4202.4800000000005</v>
      </c>
    </row>
    <row r="1281" spans="3:17" x14ac:dyDescent="0.2">
      <c r="C1281" s="445"/>
      <c r="D1281" s="300" t="s">
        <v>378</v>
      </c>
      <c r="E1281" s="499">
        <f t="shared" ref="E1281:P1281" si="395">E716+E765</f>
        <v>53763.89</v>
      </c>
      <c r="F1281" s="499">
        <f t="shared" si="395"/>
        <v>51972.65</v>
      </c>
      <c r="G1281" s="499">
        <f t="shared" si="395"/>
        <v>50375.73</v>
      </c>
      <c r="H1281" s="499">
        <f t="shared" si="395"/>
        <v>48487.57</v>
      </c>
      <c r="I1281" s="499">
        <f t="shared" si="395"/>
        <v>46323.95</v>
      </c>
      <c r="J1281" s="499">
        <f t="shared" si="395"/>
        <v>44391.880000000005</v>
      </c>
      <c r="K1281" s="499">
        <f t="shared" si="395"/>
        <v>44390.96</v>
      </c>
      <c r="L1281" s="499">
        <f t="shared" si="395"/>
        <v>46144.119999999995</v>
      </c>
      <c r="M1281" s="499">
        <f t="shared" si="395"/>
        <v>46139.14</v>
      </c>
      <c r="N1281" s="499">
        <f t="shared" si="395"/>
        <v>49590.81</v>
      </c>
      <c r="O1281" s="499">
        <f t="shared" si="395"/>
        <v>49948.39</v>
      </c>
      <c r="P1281" s="499">
        <f t="shared" si="395"/>
        <v>50324.149999999994</v>
      </c>
      <c r="Q1281" s="543">
        <f>SUM(E1281:P1281)</f>
        <v>581853.24000000011</v>
      </c>
    </row>
    <row r="1282" spans="3:17" x14ac:dyDescent="0.2">
      <c r="C1282" s="445"/>
      <c r="D1282" s="300" t="s">
        <v>344</v>
      </c>
      <c r="E1282" s="499">
        <f t="shared" ref="E1282:P1282" si="396">E720+E769</f>
        <v>72900.740000000005</v>
      </c>
      <c r="F1282" s="499">
        <f t="shared" si="396"/>
        <v>70690.98</v>
      </c>
      <c r="G1282" s="499">
        <f t="shared" si="396"/>
        <v>68261.19</v>
      </c>
      <c r="H1282" s="499">
        <f t="shared" si="396"/>
        <v>65830.960000000006</v>
      </c>
      <c r="I1282" s="499">
        <f t="shared" si="396"/>
        <v>63622.74</v>
      </c>
      <c r="J1282" s="499">
        <f t="shared" si="396"/>
        <v>61302.3</v>
      </c>
      <c r="K1282" s="499">
        <f t="shared" si="396"/>
        <v>61302.3</v>
      </c>
      <c r="L1282" s="499">
        <f t="shared" si="396"/>
        <v>63512.07</v>
      </c>
      <c r="M1282" s="499">
        <f t="shared" si="396"/>
        <v>63512.07</v>
      </c>
      <c r="N1282" s="499">
        <f t="shared" si="396"/>
        <v>68150.509999999995</v>
      </c>
      <c r="O1282" s="499">
        <f t="shared" si="396"/>
        <v>68261.19</v>
      </c>
      <c r="P1282" s="499">
        <f t="shared" si="396"/>
        <v>68482.320000000007</v>
      </c>
      <c r="Q1282" s="543">
        <f>SUM(E1282:P1282)</f>
        <v>795829.36999999988</v>
      </c>
    </row>
    <row r="1283" spans="3:17" ht="12" x14ac:dyDescent="0.35">
      <c r="C1283" s="445"/>
      <c r="D1283" s="301" t="s">
        <v>383</v>
      </c>
      <c r="E1283" s="544">
        <f t="shared" ref="E1283:P1283" si="397">E725+E774</f>
        <v>528</v>
      </c>
      <c r="F1283" s="544">
        <f t="shared" si="397"/>
        <v>512</v>
      </c>
      <c r="G1283" s="544">
        <f t="shared" si="397"/>
        <v>494.4</v>
      </c>
      <c r="H1283" s="544">
        <f t="shared" si="397"/>
        <v>476.8</v>
      </c>
      <c r="I1283" s="544">
        <f t="shared" si="397"/>
        <v>460.8</v>
      </c>
      <c r="J1283" s="544">
        <f t="shared" si="397"/>
        <v>444</v>
      </c>
      <c r="K1283" s="544">
        <f t="shared" si="397"/>
        <v>444</v>
      </c>
      <c r="L1283" s="544">
        <f t="shared" si="397"/>
        <v>460</v>
      </c>
      <c r="M1283" s="544">
        <f t="shared" si="397"/>
        <v>460</v>
      </c>
      <c r="N1283" s="544">
        <f t="shared" si="397"/>
        <v>493.6</v>
      </c>
      <c r="O1283" s="544">
        <f t="shared" si="397"/>
        <v>494.4</v>
      </c>
      <c r="P1283" s="544">
        <f t="shared" si="397"/>
        <v>496</v>
      </c>
      <c r="Q1283" s="545">
        <f>SUM(E1283:P1283)</f>
        <v>5764</v>
      </c>
    </row>
    <row r="1284" spans="3:17" x14ac:dyDescent="0.2">
      <c r="C1284" s="445"/>
      <c r="D1284" s="301"/>
      <c r="E1284" s="499">
        <f t="shared" ref="E1284:Q1284" si="398">SUM(E1279:E1283)</f>
        <v>129149.99</v>
      </c>
      <c r="F1284" s="499">
        <f t="shared" si="398"/>
        <v>125132.98999999999</v>
      </c>
      <c r="G1284" s="499">
        <f t="shared" si="398"/>
        <v>121088.68</v>
      </c>
      <c r="H1284" s="499">
        <f t="shared" si="398"/>
        <v>116752.69000000002</v>
      </c>
      <c r="I1284" s="499">
        <f t="shared" si="398"/>
        <v>112364.84999999999</v>
      </c>
      <c r="J1284" s="499">
        <f t="shared" si="398"/>
        <v>108141.06</v>
      </c>
      <c r="K1284" s="499">
        <f t="shared" si="398"/>
        <v>108140.14</v>
      </c>
      <c r="L1284" s="499">
        <f t="shared" si="398"/>
        <v>112164.59</v>
      </c>
      <c r="M1284" s="499">
        <f t="shared" si="398"/>
        <v>112114.09</v>
      </c>
      <c r="N1284" s="499">
        <f t="shared" si="398"/>
        <v>120237.79999999999</v>
      </c>
      <c r="O1284" s="499">
        <f t="shared" si="398"/>
        <v>120706.85999999999</v>
      </c>
      <c r="P1284" s="499">
        <f t="shared" si="398"/>
        <v>121305.35</v>
      </c>
      <c r="Q1284" s="543">
        <f t="shared" si="398"/>
        <v>1407299.0899999999</v>
      </c>
    </row>
    <row r="1285" spans="3:17" x14ac:dyDescent="0.2">
      <c r="C1285" s="445"/>
      <c r="D1285" s="301"/>
      <c r="E1285" s="499"/>
      <c r="F1285" s="499"/>
      <c r="G1285" s="499"/>
      <c r="H1285" s="499"/>
      <c r="I1285" s="499"/>
      <c r="J1285" s="499"/>
      <c r="K1285" s="499"/>
      <c r="L1285" s="499"/>
      <c r="M1285" s="499"/>
      <c r="N1285" s="499"/>
      <c r="O1285" s="499"/>
      <c r="P1285" s="499"/>
      <c r="Q1285" s="543"/>
    </row>
    <row r="1286" spans="3:17" x14ac:dyDescent="0.2">
      <c r="C1286" s="445"/>
      <c r="D1286" s="494" t="s">
        <v>385</v>
      </c>
      <c r="E1286" s="499"/>
      <c r="F1286" s="499"/>
      <c r="G1286" s="499"/>
      <c r="H1286" s="499"/>
      <c r="I1286" s="499"/>
      <c r="J1286" s="499"/>
      <c r="K1286" s="499"/>
      <c r="L1286" s="499"/>
      <c r="M1286" s="499"/>
      <c r="N1286" s="499"/>
      <c r="O1286" s="499"/>
      <c r="P1286" s="499"/>
      <c r="Q1286" s="543"/>
    </row>
    <row r="1287" spans="3:17" x14ac:dyDescent="0.2">
      <c r="C1287" s="445"/>
      <c r="D1287" s="300" t="s">
        <v>341</v>
      </c>
      <c r="E1287" s="499">
        <f t="shared" ref="E1287:P1287" si="399">E784</f>
        <v>954</v>
      </c>
      <c r="F1287" s="499">
        <f t="shared" si="399"/>
        <v>954</v>
      </c>
      <c r="G1287" s="499">
        <f t="shared" si="399"/>
        <v>954</v>
      </c>
      <c r="H1287" s="499">
        <f t="shared" si="399"/>
        <v>954</v>
      </c>
      <c r="I1287" s="499">
        <f t="shared" si="399"/>
        <v>954</v>
      </c>
      <c r="J1287" s="499">
        <f t="shared" si="399"/>
        <v>954</v>
      </c>
      <c r="K1287" s="499">
        <f t="shared" si="399"/>
        <v>954</v>
      </c>
      <c r="L1287" s="499">
        <f t="shared" si="399"/>
        <v>954</v>
      </c>
      <c r="M1287" s="499">
        <f t="shared" si="399"/>
        <v>954</v>
      </c>
      <c r="N1287" s="499">
        <f t="shared" si="399"/>
        <v>954</v>
      </c>
      <c r="O1287" s="499">
        <f t="shared" si="399"/>
        <v>954</v>
      </c>
      <c r="P1287" s="499">
        <f t="shared" si="399"/>
        <v>954</v>
      </c>
      <c r="Q1287" s="543">
        <f>SUM(E1287:P1287)</f>
        <v>11448</v>
      </c>
    </row>
    <row r="1288" spans="3:17" x14ac:dyDescent="0.2">
      <c r="C1288" s="445"/>
      <c r="D1288" s="300" t="s">
        <v>340</v>
      </c>
      <c r="E1288" s="499">
        <f t="shared" ref="E1288:P1288" si="400">E785</f>
        <v>153.91999999999999</v>
      </c>
      <c r="F1288" s="499">
        <f t="shared" si="400"/>
        <v>153.91999999999999</v>
      </c>
      <c r="G1288" s="499">
        <f t="shared" si="400"/>
        <v>153.91999999999999</v>
      </c>
      <c r="H1288" s="499">
        <f t="shared" si="400"/>
        <v>153.91999999999999</v>
      </c>
      <c r="I1288" s="499">
        <f t="shared" si="400"/>
        <v>153.91999999999999</v>
      </c>
      <c r="J1288" s="499">
        <f t="shared" si="400"/>
        <v>153.91999999999999</v>
      </c>
      <c r="K1288" s="499">
        <f t="shared" si="400"/>
        <v>153.91999999999999</v>
      </c>
      <c r="L1288" s="499">
        <f t="shared" si="400"/>
        <v>153.91999999999999</v>
      </c>
      <c r="M1288" s="499">
        <f t="shared" si="400"/>
        <v>153.91999999999999</v>
      </c>
      <c r="N1288" s="499">
        <f t="shared" si="400"/>
        <v>153.91999999999999</v>
      </c>
      <c r="O1288" s="499">
        <f t="shared" si="400"/>
        <v>153.91999999999999</v>
      </c>
      <c r="P1288" s="499">
        <f t="shared" si="400"/>
        <v>153.91999999999999</v>
      </c>
      <c r="Q1288" s="543">
        <f>SUM(E1288:P1288)</f>
        <v>1847.0400000000002</v>
      </c>
    </row>
    <row r="1289" spans="3:17" x14ac:dyDescent="0.2">
      <c r="C1289" s="445"/>
      <c r="D1289" s="300" t="s">
        <v>378</v>
      </c>
      <c r="E1289" s="499">
        <f t="shared" ref="E1289:P1289" si="401">E788</f>
        <v>2556.41</v>
      </c>
      <c r="F1289" s="499">
        <f t="shared" si="401"/>
        <v>1880.37</v>
      </c>
      <c r="G1289" s="499">
        <f t="shared" si="401"/>
        <v>895.36</v>
      </c>
      <c r="H1289" s="499">
        <f t="shared" si="401"/>
        <v>522.99</v>
      </c>
      <c r="I1289" s="499">
        <f t="shared" si="401"/>
        <v>295.76</v>
      </c>
      <c r="J1289" s="499">
        <f t="shared" si="401"/>
        <v>180.44</v>
      </c>
      <c r="K1289" s="499">
        <f t="shared" si="401"/>
        <v>199.68</v>
      </c>
      <c r="L1289" s="499">
        <f t="shared" si="401"/>
        <v>159.97999999999999</v>
      </c>
      <c r="M1289" s="499">
        <f t="shared" si="401"/>
        <v>160.22999999999999</v>
      </c>
      <c r="N1289" s="499">
        <f t="shared" si="401"/>
        <v>574.74</v>
      </c>
      <c r="O1289" s="499">
        <f t="shared" si="401"/>
        <v>826.65</v>
      </c>
      <c r="P1289" s="499">
        <f t="shared" si="401"/>
        <v>973.76</v>
      </c>
      <c r="Q1289" s="543">
        <f>SUM(E1289:P1289)</f>
        <v>9226.369999999999</v>
      </c>
    </row>
    <row r="1290" spans="3:17" x14ac:dyDescent="0.2">
      <c r="C1290" s="445"/>
      <c r="D1290" s="300" t="s">
        <v>344</v>
      </c>
      <c r="E1290" s="499">
        <f t="shared" ref="E1290:P1290" si="402">E792</f>
        <v>6929.28</v>
      </c>
      <c r="F1290" s="499">
        <f t="shared" si="402"/>
        <v>5096.84</v>
      </c>
      <c r="G1290" s="499">
        <f t="shared" si="402"/>
        <v>2426.92</v>
      </c>
      <c r="H1290" s="499">
        <f t="shared" si="402"/>
        <v>1417.58</v>
      </c>
      <c r="I1290" s="499">
        <f t="shared" si="402"/>
        <v>801.68</v>
      </c>
      <c r="J1290" s="499">
        <f t="shared" si="402"/>
        <v>489.09</v>
      </c>
      <c r="K1290" s="499">
        <f t="shared" si="402"/>
        <v>541.23</v>
      </c>
      <c r="L1290" s="499">
        <f t="shared" si="402"/>
        <v>433.65</v>
      </c>
      <c r="M1290" s="499">
        <f t="shared" si="402"/>
        <v>434.31</v>
      </c>
      <c r="N1290" s="499">
        <f t="shared" si="402"/>
        <v>1557.86</v>
      </c>
      <c r="O1290" s="499">
        <f t="shared" si="402"/>
        <v>2240.69</v>
      </c>
      <c r="P1290" s="499">
        <f t="shared" si="402"/>
        <v>2639.43</v>
      </c>
      <c r="Q1290" s="543">
        <f>SUM(E1290:P1290)</f>
        <v>25008.560000000001</v>
      </c>
    </row>
    <row r="1291" spans="3:17" ht="12" x14ac:dyDescent="0.35">
      <c r="C1291" s="445"/>
      <c r="D1291" s="301" t="s">
        <v>383</v>
      </c>
      <c r="E1291" s="544">
        <f t="shared" ref="E1291:P1291" si="403">E797</f>
        <v>50.19</v>
      </c>
      <c r="F1291" s="544">
        <f t="shared" si="403"/>
        <v>36.92</v>
      </c>
      <c r="G1291" s="544">
        <f t="shared" si="403"/>
        <v>17.579999999999998</v>
      </c>
      <c r="H1291" s="544">
        <f t="shared" si="403"/>
        <v>10.27</v>
      </c>
      <c r="I1291" s="544">
        <f t="shared" si="403"/>
        <v>5.81</v>
      </c>
      <c r="J1291" s="544">
        <f t="shared" si="403"/>
        <v>3.54</v>
      </c>
      <c r="K1291" s="544">
        <f t="shared" si="403"/>
        <v>3.92</v>
      </c>
      <c r="L1291" s="544">
        <f t="shared" si="403"/>
        <v>3.14</v>
      </c>
      <c r="M1291" s="544">
        <f t="shared" si="403"/>
        <v>3.15</v>
      </c>
      <c r="N1291" s="544">
        <f t="shared" si="403"/>
        <v>11.28</v>
      </c>
      <c r="O1291" s="544">
        <f t="shared" si="403"/>
        <v>16.23</v>
      </c>
      <c r="P1291" s="544">
        <f t="shared" si="403"/>
        <v>19.12</v>
      </c>
      <c r="Q1291" s="545">
        <f>SUM(E1291:P1291)</f>
        <v>181.14999999999998</v>
      </c>
    </row>
    <row r="1292" spans="3:17" x14ac:dyDescent="0.2">
      <c r="C1292" s="445"/>
      <c r="D1292" s="300"/>
      <c r="E1292" s="499">
        <f t="shared" ref="E1292:Q1292" si="404">SUM(E1287:E1291)</f>
        <v>10643.800000000001</v>
      </c>
      <c r="F1292" s="499">
        <f t="shared" si="404"/>
        <v>8122.05</v>
      </c>
      <c r="G1292" s="499">
        <f t="shared" si="404"/>
        <v>4447.7800000000007</v>
      </c>
      <c r="H1292" s="499">
        <f t="shared" si="404"/>
        <v>3058.7599999999998</v>
      </c>
      <c r="I1292" s="499">
        <f t="shared" si="404"/>
        <v>2211.17</v>
      </c>
      <c r="J1292" s="499">
        <f t="shared" si="404"/>
        <v>1780.99</v>
      </c>
      <c r="K1292" s="499">
        <f t="shared" si="404"/>
        <v>1852.7500000000002</v>
      </c>
      <c r="L1292" s="499">
        <f t="shared" si="404"/>
        <v>1704.6900000000003</v>
      </c>
      <c r="M1292" s="499">
        <f t="shared" si="404"/>
        <v>1705.6100000000001</v>
      </c>
      <c r="N1292" s="499">
        <f t="shared" si="404"/>
        <v>3251.8</v>
      </c>
      <c r="O1292" s="499">
        <f t="shared" si="404"/>
        <v>4191.49</v>
      </c>
      <c r="P1292" s="499">
        <f t="shared" si="404"/>
        <v>4740.2300000000005</v>
      </c>
      <c r="Q1292" s="543">
        <f t="shared" si="404"/>
        <v>47711.12</v>
      </c>
    </row>
    <row r="1293" spans="3:17" ht="10.8" thickBot="1" x14ac:dyDescent="0.25">
      <c r="C1293" s="445"/>
      <c r="D1293" s="300"/>
      <c r="E1293" s="499"/>
      <c r="F1293" s="499"/>
      <c r="G1293" s="499"/>
      <c r="H1293" s="499"/>
      <c r="I1293" s="499"/>
      <c r="J1293" s="499"/>
      <c r="K1293" s="499"/>
      <c r="L1293" s="499"/>
      <c r="M1293" s="499"/>
      <c r="N1293" s="499"/>
      <c r="O1293" s="499"/>
      <c r="P1293" s="499"/>
      <c r="Q1293" s="543"/>
    </row>
    <row r="1294" spans="3:17" x14ac:dyDescent="0.2">
      <c r="C1294" s="445"/>
      <c r="D1294" s="546" t="s">
        <v>386</v>
      </c>
      <c r="E1294" s="547"/>
      <c r="F1294" s="547"/>
      <c r="G1294" s="547"/>
      <c r="H1294" s="547"/>
      <c r="I1294" s="547"/>
      <c r="J1294" s="547"/>
      <c r="K1294" s="547"/>
      <c r="L1294" s="547"/>
      <c r="M1294" s="547"/>
      <c r="N1294" s="547"/>
      <c r="O1294" s="547"/>
      <c r="P1294" s="547"/>
      <c r="Q1294" s="548"/>
    </row>
    <row r="1295" spans="3:17" x14ac:dyDescent="0.2">
      <c r="C1295" s="445"/>
      <c r="D1295" s="549" t="s">
        <v>341</v>
      </c>
      <c r="E1295" s="499">
        <f>E1261+E1271+E1279+E1287</f>
        <v>1875112.28</v>
      </c>
      <c r="F1295" s="499">
        <f t="shared" ref="F1295:P1295" si="405">F1261+F1271+F1279+F1287</f>
        <v>1880272.28</v>
      </c>
      <c r="G1295" s="499">
        <f t="shared" si="405"/>
        <v>1872514.2</v>
      </c>
      <c r="H1295" s="499">
        <f t="shared" si="405"/>
        <v>1871014.2</v>
      </c>
      <c r="I1295" s="499">
        <f t="shared" si="405"/>
        <v>1859246.7</v>
      </c>
      <c r="J1295" s="499">
        <f t="shared" si="405"/>
        <v>1841269.2</v>
      </c>
      <c r="K1295" s="499">
        <f t="shared" si="405"/>
        <v>1828556.7</v>
      </c>
      <c r="L1295" s="499">
        <f t="shared" si="405"/>
        <v>1833719.78</v>
      </c>
      <c r="M1295" s="499">
        <f t="shared" si="405"/>
        <v>1822949.78</v>
      </c>
      <c r="N1295" s="499">
        <f t="shared" si="405"/>
        <v>1823827.28</v>
      </c>
      <c r="O1295" s="499">
        <f t="shared" si="405"/>
        <v>1844729.78</v>
      </c>
      <c r="P1295" s="499">
        <f t="shared" si="405"/>
        <v>1864777.28</v>
      </c>
      <c r="Q1295" s="543">
        <f t="shared" ref="Q1295:Q1301" si="406">SUM(E1295:P1295)</f>
        <v>22217989.460000001</v>
      </c>
    </row>
    <row r="1296" spans="3:17" x14ac:dyDescent="0.2">
      <c r="C1296" s="445"/>
      <c r="D1296" s="549" t="s">
        <v>340</v>
      </c>
      <c r="E1296" s="499">
        <f t="shared" ref="E1296:P1298" si="407">E1262+E1272+E1280+E1288</f>
        <v>305759.17</v>
      </c>
      <c r="F1296" s="499">
        <f t="shared" si="407"/>
        <v>306686.44999999995</v>
      </c>
      <c r="G1296" s="499">
        <f t="shared" si="407"/>
        <v>304948.98</v>
      </c>
      <c r="H1296" s="499">
        <f t="shared" si="407"/>
        <v>304647.33999999997</v>
      </c>
      <c r="I1296" s="499">
        <f t="shared" si="407"/>
        <v>302592.42</v>
      </c>
      <c r="J1296" s="499">
        <f t="shared" si="407"/>
        <v>299653.89999999997</v>
      </c>
      <c r="K1296" s="499">
        <f t="shared" si="407"/>
        <v>297754.21000000002</v>
      </c>
      <c r="L1296" s="499">
        <f t="shared" si="407"/>
        <v>298508.47000000003</v>
      </c>
      <c r="M1296" s="499">
        <f t="shared" si="407"/>
        <v>296816.33</v>
      </c>
      <c r="N1296" s="499">
        <f t="shared" si="407"/>
        <v>297026.99</v>
      </c>
      <c r="O1296" s="499">
        <f t="shared" si="407"/>
        <v>300504.84999999998</v>
      </c>
      <c r="P1296" s="499">
        <f t="shared" si="407"/>
        <v>303897.57</v>
      </c>
      <c r="Q1296" s="543">
        <f t="shared" si="406"/>
        <v>3618796.6799999997</v>
      </c>
    </row>
    <row r="1297" spans="3:18" x14ac:dyDescent="0.2">
      <c r="C1297" s="445"/>
      <c r="D1297" s="549" t="s">
        <v>378</v>
      </c>
      <c r="E1297" s="499">
        <f t="shared" si="407"/>
        <v>4358952.8</v>
      </c>
      <c r="F1297" s="499">
        <f t="shared" si="407"/>
        <v>4261308.91</v>
      </c>
      <c r="G1297" s="499">
        <f t="shared" si="407"/>
        <v>3160313.63</v>
      </c>
      <c r="H1297" s="499">
        <f t="shared" si="407"/>
        <v>1862673.29</v>
      </c>
      <c r="I1297" s="499">
        <f t="shared" si="407"/>
        <v>909785.32999999984</v>
      </c>
      <c r="J1297" s="499">
        <f t="shared" si="407"/>
        <v>491794.52999999997</v>
      </c>
      <c r="K1297" s="499">
        <f t="shared" si="407"/>
        <v>365268.19000000006</v>
      </c>
      <c r="L1297" s="499">
        <f t="shared" si="407"/>
        <v>352249.12</v>
      </c>
      <c r="M1297" s="499">
        <f t="shared" si="407"/>
        <v>357314.48</v>
      </c>
      <c r="N1297" s="499">
        <f t="shared" si="407"/>
        <v>532392.42999999993</v>
      </c>
      <c r="O1297" s="499">
        <f t="shared" si="407"/>
        <v>1325971.3799999997</v>
      </c>
      <c r="P1297" s="499">
        <f t="shared" si="407"/>
        <v>2944009.6899999995</v>
      </c>
      <c r="Q1297" s="543">
        <f t="shared" si="406"/>
        <v>20922033.779999994</v>
      </c>
    </row>
    <row r="1298" spans="3:18" x14ac:dyDescent="0.2">
      <c r="C1298" s="445"/>
      <c r="D1298" s="549" t="s">
        <v>344</v>
      </c>
      <c r="E1298" s="499">
        <f t="shared" si="407"/>
        <v>4483477.790000001</v>
      </c>
      <c r="F1298" s="499">
        <f t="shared" si="407"/>
        <v>4376758.3900000006</v>
      </c>
      <c r="G1298" s="499">
        <f t="shared" si="407"/>
        <v>3220650.43</v>
      </c>
      <c r="H1298" s="499">
        <f t="shared" si="407"/>
        <v>1901250.88</v>
      </c>
      <c r="I1298" s="499">
        <f t="shared" si="407"/>
        <v>935708.05000000016</v>
      </c>
      <c r="J1298" s="499">
        <f t="shared" si="407"/>
        <v>513952.18000000005</v>
      </c>
      <c r="K1298" s="499">
        <f t="shared" si="407"/>
        <v>383735.23999999993</v>
      </c>
      <c r="L1298" s="499">
        <f t="shared" si="407"/>
        <v>370504.07</v>
      </c>
      <c r="M1298" s="499">
        <f t="shared" si="407"/>
        <v>374902.17</v>
      </c>
      <c r="N1298" s="499">
        <f t="shared" si="407"/>
        <v>553542.36</v>
      </c>
      <c r="O1298" s="499">
        <f t="shared" si="407"/>
        <v>1351384.0199999998</v>
      </c>
      <c r="P1298" s="499">
        <f t="shared" si="407"/>
        <v>3010084.5300000003</v>
      </c>
      <c r="Q1298" s="543">
        <f t="shared" si="406"/>
        <v>21475950.110000003</v>
      </c>
    </row>
    <row r="1299" spans="3:18" x14ac:dyDescent="0.2">
      <c r="C1299" s="445"/>
      <c r="D1299" s="445" t="s">
        <v>379</v>
      </c>
      <c r="E1299" s="499">
        <f>E1265</f>
        <v>68509.41</v>
      </c>
      <c r="F1299" s="499">
        <f t="shared" ref="F1299:P1299" si="408">F1265</f>
        <v>68636.37</v>
      </c>
      <c r="G1299" s="499">
        <f t="shared" si="408"/>
        <v>68683.98</v>
      </c>
      <c r="H1299" s="499">
        <f t="shared" si="408"/>
        <v>68670.179999999993</v>
      </c>
      <c r="I1299" s="499">
        <f t="shared" si="408"/>
        <v>68337.600000000006</v>
      </c>
      <c r="J1299" s="499">
        <f t="shared" si="408"/>
        <v>67684.86</v>
      </c>
      <c r="K1299" s="499">
        <f t="shared" si="408"/>
        <v>67094.91</v>
      </c>
      <c r="L1299" s="499">
        <f t="shared" si="408"/>
        <v>67355.73</v>
      </c>
      <c r="M1299" s="499">
        <f t="shared" si="408"/>
        <v>66915.509999999995</v>
      </c>
      <c r="N1299" s="499">
        <f t="shared" si="408"/>
        <v>66898.95</v>
      </c>
      <c r="O1299" s="499">
        <f t="shared" si="408"/>
        <v>67613.789999999994</v>
      </c>
      <c r="P1299" s="499">
        <f t="shared" si="408"/>
        <v>68258.25</v>
      </c>
      <c r="Q1299" s="543">
        <f t="shared" si="406"/>
        <v>814659.54</v>
      </c>
    </row>
    <row r="1300" spans="3:18" x14ac:dyDescent="0.2">
      <c r="C1300" s="445"/>
      <c r="D1300" s="445" t="s">
        <v>380</v>
      </c>
      <c r="E1300" s="499">
        <f>E1266+E1275+E1283+E1291</f>
        <v>32460.539999999997</v>
      </c>
      <c r="F1300" s="499">
        <f t="shared" ref="F1300:P1300" si="409">F1266+F1275+F1283+F1291</f>
        <v>31688.32</v>
      </c>
      <c r="G1300" s="499">
        <f t="shared" si="409"/>
        <v>23315.990000000005</v>
      </c>
      <c r="H1300" s="499">
        <f t="shared" si="409"/>
        <v>13764.75</v>
      </c>
      <c r="I1300" s="499">
        <f t="shared" si="409"/>
        <v>6774.7100000000009</v>
      </c>
      <c r="J1300" s="499">
        <f t="shared" si="409"/>
        <v>3721.6099999999997</v>
      </c>
      <c r="K1300" s="499">
        <f t="shared" si="409"/>
        <v>2778.46</v>
      </c>
      <c r="L1300" s="499">
        <f t="shared" si="409"/>
        <v>2682.7599999999998</v>
      </c>
      <c r="M1300" s="499">
        <f t="shared" si="409"/>
        <v>2714.7400000000002</v>
      </c>
      <c r="N1300" s="499">
        <f t="shared" si="409"/>
        <v>4007.7400000000002</v>
      </c>
      <c r="O1300" s="499">
        <f t="shared" si="409"/>
        <v>9783.8799999999992</v>
      </c>
      <c r="P1300" s="499">
        <f t="shared" si="409"/>
        <v>21792.37</v>
      </c>
      <c r="Q1300" s="543">
        <f t="shared" si="406"/>
        <v>155485.87000000002</v>
      </c>
    </row>
    <row r="1301" spans="3:18" ht="12" x14ac:dyDescent="0.35">
      <c r="C1301" s="445"/>
      <c r="D1301" s="445" t="s">
        <v>381</v>
      </c>
      <c r="E1301" s="544">
        <f>E1267</f>
        <v>79514.850000000006</v>
      </c>
      <c r="F1301" s="544">
        <f t="shared" ref="F1301:P1301" si="410">F1267</f>
        <v>77081.759999999995</v>
      </c>
      <c r="G1301" s="544">
        <f t="shared" si="410"/>
        <v>57813.66</v>
      </c>
      <c r="H1301" s="544">
        <f t="shared" si="410"/>
        <v>32987.440000000002</v>
      </c>
      <c r="I1301" s="544">
        <f t="shared" si="410"/>
        <v>15508.65</v>
      </c>
      <c r="J1301" s="544">
        <f t="shared" si="410"/>
        <v>7397.5</v>
      </c>
      <c r="K1301" s="544">
        <f t="shared" si="410"/>
        <v>5309.12</v>
      </c>
      <c r="L1301" s="544">
        <f t="shared" si="410"/>
        <v>5130.66</v>
      </c>
      <c r="M1301" s="544">
        <f t="shared" si="410"/>
        <v>5308.7</v>
      </c>
      <c r="N1301" s="544">
        <f t="shared" si="410"/>
        <v>8464.52</v>
      </c>
      <c r="O1301" s="544">
        <f t="shared" si="410"/>
        <v>24389.98</v>
      </c>
      <c r="P1301" s="544">
        <f t="shared" si="410"/>
        <v>54103.55</v>
      </c>
      <c r="Q1301" s="545">
        <f t="shared" si="406"/>
        <v>373010.38999999996</v>
      </c>
    </row>
    <row r="1302" spans="3:18" x14ac:dyDescent="0.2">
      <c r="C1302" s="445"/>
      <c r="D1302" s="445"/>
      <c r="E1302" s="499">
        <f t="shared" ref="E1302:Q1302" si="411">SUM(E1295:E1301)</f>
        <v>11203786.84</v>
      </c>
      <c r="F1302" s="499">
        <f t="shared" si="411"/>
        <v>11002432.48</v>
      </c>
      <c r="G1302" s="499">
        <f t="shared" si="411"/>
        <v>8708240.870000001</v>
      </c>
      <c r="H1302" s="499">
        <f t="shared" si="411"/>
        <v>6055008.0800000001</v>
      </c>
      <c r="I1302" s="499">
        <f t="shared" si="411"/>
        <v>4097953.4600000004</v>
      </c>
      <c r="J1302" s="499">
        <f t="shared" si="411"/>
        <v>3225473.78</v>
      </c>
      <c r="K1302" s="499">
        <f t="shared" si="411"/>
        <v>2950496.83</v>
      </c>
      <c r="L1302" s="499">
        <f t="shared" si="411"/>
        <v>2930150.59</v>
      </c>
      <c r="M1302" s="499">
        <f t="shared" si="411"/>
        <v>2926921.71</v>
      </c>
      <c r="N1302" s="499">
        <f t="shared" si="411"/>
        <v>3286160.2700000005</v>
      </c>
      <c r="O1302" s="499">
        <f t="shared" si="411"/>
        <v>4924377.68</v>
      </c>
      <c r="P1302" s="499">
        <f t="shared" si="411"/>
        <v>8266923.2399999993</v>
      </c>
      <c r="Q1302" s="543">
        <f t="shared" si="411"/>
        <v>69577925.830000013</v>
      </c>
    </row>
    <row r="1303" spans="3:18" ht="10.8" thickBot="1" x14ac:dyDescent="0.25">
      <c r="C1303" s="445"/>
      <c r="D1303" s="452"/>
      <c r="E1303" s="551"/>
      <c r="F1303" s="551"/>
      <c r="G1303" s="551"/>
      <c r="H1303" s="551"/>
      <c r="I1303" s="551"/>
      <c r="J1303" s="551"/>
      <c r="K1303" s="551"/>
      <c r="L1303" s="551"/>
      <c r="M1303" s="551"/>
      <c r="N1303" s="551"/>
      <c r="O1303" s="551"/>
      <c r="P1303" s="551"/>
      <c r="Q1303" s="552"/>
    </row>
    <row r="1304" spans="3:18" x14ac:dyDescent="0.2">
      <c r="C1304" s="445"/>
      <c r="D1304" s="300"/>
      <c r="E1304" s="499"/>
      <c r="F1304" s="499"/>
      <c r="G1304" s="499"/>
      <c r="H1304" s="499"/>
      <c r="I1304" s="499"/>
      <c r="J1304" s="499"/>
      <c r="K1304" s="499"/>
      <c r="L1304" s="499"/>
      <c r="M1304" s="499"/>
      <c r="N1304" s="499"/>
      <c r="O1304" s="499"/>
      <c r="P1304" s="499"/>
      <c r="Q1304" s="543"/>
    </row>
    <row r="1305" spans="3:18" x14ac:dyDescent="0.2">
      <c r="C1305" s="445"/>
      <c r="D1305" s="494" t="s">
        <v>388</v>
      </c>
      <c r="E1305" s="301"/>
      <c r="F1305" s="415"/>
      <c r="G1305" s="435"/>
      <c r="H1305" s="415"/>
      <c r="I1305" s="436"/>
      <c r="J1305" s="415"/>
      <c r="K1305" s="415"/>
      <c r="L1305" s="415"/>
      <c r="M1305" s="415"/>
      <c r="N1305" s="415"/>
      <c r="O1305" s="415"/>
      <c r="P1305" s="415"/>
      <c r="Q1305" s="443"/>
    </row>
    <row r="1306" spans="3:18" x14ac:dyDescent="0.2">
      <c r="C1306" s="445"/>
      <c r="D1306" s="300" t="s">
        <v>341</v>
      </c>
      <c r="E1306" s="499">
        <f t="shared" ref="E1306:P1306" si="412">E824</f>
        <v>355800</v>
      </c>
      <c r="F1306" s="499">
        <f t="shared" si="412"/>
        <v>356775</v>
      </c>
      <c r="G1306" s="499">
        <f t="shared" si="412"/>
        <v>356790</v>
      </c>
      <c r="H1306" s="499">
        <f t="shared" si="412"/>
        <v>355410</v>
      </c>
      <c r="I1306" s="499">
        <f t="shared" si="412"/>
        <v>354180</v>
      </c>
      <c r="J1306" s="499">
        <f t="shared" si="412"/>
        <v>350790</v>
      </c>
      <c r="K1306" s="499">
        <f t="shared" si="412"/>
        <v>348570</v>
      </c>
      <c r="L1306" s="499">
        <f t="shared" si="412"/>
        <v>348345</v>
      </c>
      <c r="M1306" s="499">
        <f t="shared" si="412"/>
        <v>347685</v>
      </c>
      <c r="N1306" s="499">
        <f t="shared" si="412"/>
        <v>347820</v>
      </c>
      <c r="O1306" s="499">
        <f t="shared" si="412"/>
        <v>351870</v>
      </c>
      <c r="P1306" s="499">
        <f t="shared" si="412"/>
        <v>355155</v>
      </c>
      <c r="Q1306" s="543">
        <f>SUM(E1306:P1306)</f>
        <v>4229190</v>
      </c>
    </row>
    <row r="1307" spans="3:18" x14ac:dyDescent="0.2">
      <c r="C1307" s="445"/>
      <c r="D1307" s="300" t="s">
        <v>340</v>
      </c>
      <c r="E1307" s="499">
        <f t="shared" ref="E1307:P1307" si="413">E825</f>
        <v>53370</v>
      </c>
      <c r="F1307" s="499">
        <f t="shared" si="413"/>
        <v>53516.25</v>
      </c>
      <c r="G1307" s="499">
        <f t="shared" si="413"/>
        <v>53518.5</v>
      </c>
      <c r="H1307" s="499">
        <f t="shared" si="413"/>
        <v>53311.5</v>
      </c>
      <c r="I1307" s="499">
        <f t="shared" si="413"/>
        <v>53127</v>
      </c>
      <c r="J1307" s="499">
        <f t="shared" si="413"/>
        <v>52618.5</v>
      </c>
      <c r="K1307" s="499">
        <f t="shared" si="413"/>
        <v>52285.5</v>
      </c>
      <c r="L1307" s="499">
        <f t="shared" si="413"/>
        <v>52251.75</v>
      </c>
      <c r="M1307" s="499">
        <f t="shared" si="413"/>
        <v>52152.75</v>
      </c>
      <c r="N1307" s="499">
        <f t="shared" si="413"/>
        <v>52173</v>
      </c>
      <c r="O1307" s="499">
        <f t="shared" si="413"/>
        <v>52780.5</v>
      </c>
      <c r="P1307" s="499">
        <f t="shared" si="413"/>
        <v>53273.25</v>
      </c>
      <c r="Q1307" s="543">
        <f>SUM(E1307:P1307)</f>
        <v>634378.5</v>
      </c>
    </row>
    <row r="1308" spans="3:18" x14ac:dyDescent="0.2">
      <c r="C1308" s="445"/>
      <c r="D1308" s="300" t="s">
        <v>378</v>
      </c>
      <c r="E1308" s="499">
        <f t="shared" ref="E1308:P1308" si="414">E828</f>
        <v>825042.4</v>
      </c>
      <c r="F1308" s="499">
        <f t="shared" si="414"/>
        <v>800109.8</v>
      </c>
      <c r="G1308" s="499">
        <f t="shared" si="414"/>
        <v>600649</v>
      </c>
      <c r="H1308" s="499">
        <f t="shared" si="414"/>
        <v>342256.6</v>
      </c>
      <c r="I1308" s="499">
        <f t="shared" si="414"/>
        <v>160928.6</v>
      </c>
      <c r="J1308" s="499">
        <f t="shared" si="414"/>
        <v>77064.399999999994</v>
      </c>
      <c r="K1308" s="499">
        <f t="shared" si="414"/>
        <v>54398.400000000001</v>
      </c>
      <c r="L1308" s="499">
        <f t="shared" si="414"/>
        <v>52131.8</v>
      </c>
      <c r="M1308" s="499">
        <f t="shared" si="414"/>
        <v>56665</v>
      </c>
      <c r="N1308" s="499">
        <f t="shared" si="414"/>
        <v>88397.4</v>
      </c>
      <c r="O1308" s="499">
        <f t="shared" si="414"/>
        <v>251592.6</v>
      </c>
      <c r="P1308" s="499">
        <f t="shared" si="414"/>
        <v>559850.19999999995</v>
      </c>
      <c r="Q1308" s="543">
        <f>SUM(E1308:P1308)</f>
        <v>3869086.2</v>
      </c>
    </row>
    <row r="1309" spans="3:18" x14ac:dyDescent="0.2">
      <c r="C1309" s="445"/>
      <c r="D1309" s="301" t="s">
        <v>379</v>
      </c>
      <c r="E1309" s="499">
        <f t="shared" ref="E1309:P1309" si="415">E837</f>
        <v>16366.8</v>
      </c>
      <c r="F1309" s="499">
        <f t="shared" si="415"/>
        <v>16411.650000000001</v>
      </c>
      <c r="G1309" s="499">
        <f t="shared" si="415"/>
        <v>16412.34</v>
      </c>
      <c r="H1309" s="499">
        <f t="shared" si="415"/>
        <v>16348.86</v>
      </c>
      <c r="I1309" s="499">
        <f t="shared" si="415"/>
        <v>16292.28</v>
      </c>
      <c r="J1309" s="499">
        <f t="shared" si="415"/>
        <v>16136.34</v>
      </c>
      <c r="K1309" s="499">
        <f t="shared" si="415"/>
        <v>16034.22</v>
      </c>
      <c r="L1309" s="499">
        <f t="shared" si="415"/>
        <v>16023.87</v>
      </c>
      <c r="M1309" s="499">
        <f t="shared" si="415"/>
        <v>15993.51</v>
      </c>
      <c r="N1309" s="499">
        <f t="shared" si="415"/>
        <v>15999.72</v>
      </c>
      <c r="O1309" s="499">
        <f t="shared" si="415"/>
        <v>16186.02</v>
      </c>
      <c r="P1309" s="499">
        <f t="shared" si="415"/>
        <v>16337.13</v>
      </c>
      <c r="Q1309" s="543">
        <f>SUM(E1309:P1309)</f>
        <v>194542.74</v>
      </c>
    </row>
    <row r="1310" spans="3:18" ht="12" x14ac:dyDescent="0.35">
      <c r="C1310" s="445"/>
      <c r="D1310" s="301" t="s">
        <v>381</v>
      </c>
      <c r="E1310" s="544">
        <f t="shared" ref="E1310:P1310" si="416">E838</f>
        <v>21730.799999999999</v>
      </c>
      <c r="F1310" s="544">
        <f t="shared" si="416"/>
        <v>21074.1</v>
      </c>
      <c r="G1310" s="544">
        <f t="shared" si="416"/>
        <v>15820.5</v>
      </c>
      <c r="H1310" s="544">
        <f t="shared" si="416"/>
        <v>9014.7000000000007</v>
      </c>
      <c r="I1310" s="544">
        <f t="shared" si="416"/>
        <v>4238.7</v>
      </c>
      <c r="J1310" s="544">
        <f t="shared" si="416"/>
        <v>2029.8</v>
      </c>
      <c r="K1310" s="544">
        <f t="shared" si="416"/>
        <v>1432.8</v>
      </c>
      <c r="L1310" s="544">
        <f t="shared" si="416"/>
        <v>1373.1</v>
      </c>
      <c r="M1310" s="544">
        <f t="shared" si="416"/>
        <v>1492.5</v>
      </c>
      <c r="N1310" s="544">
        <f t="shared" si="416"/>
        <v>2328.3000000000002</v>
      </c>
      <c r="O1310" s="544">
        <f t="shared" si="416"/>
        <v>6626.7</v>
      </c>
      <c r="P1310" s="544">
        <f t="shared" si="416"/>
        <v>14745.9</v>
      </c>
      <c r="Q1310" s="545">
        <f>SUM(E1310:P1310)</f>
        <v>101907.9</v>
      </c>
    </row>
    <row r="1311" spans="3:18" x14ac:dyDescent="0.2">
      <c r="C1311" s="445"/>
      <c r="D1311" s="301"/>
      <c r="E1311" s="499">
        <f t="shared" ref="E1311:Q1311" si="417">SUM(E1306:E1310)</f>
        <v>1272310</v>
      </c>
      <c r="F1311" s="499">
        <f t="shared" si="417"/>
        <v>1247886.8</v>
      </c>
      <c r="G1311" s="499">
        <f t="shared" si="417"/>
        <v>1043190.34</v>
      </c>
      <c r="H1311" s="499">
        <f t="shared" si="417"/>
        <v>776341.65999999992</v>
      </c>
      <c r="I1311" s="499">
        <f t="shared" si="417"/>
        <v>588766.57999999996</v>
      </c>
      <c r="J1311" s="499">
        <f t="shared" si="417"/>
        <v>498639.04000000004</v>
      </c>
      <c r="K1311" s="499">
        <f t="shared" si="417"/>
        <v>472720.92</v>
      </c>
      <c r="L1311" s="499">
        <f t="shared" si="417"/>
        <v>470125.51999999996</v>
      </c>
      <c r="M1311" s="499">
        <f t="shared" si="417"/>
        <v>473988.76</v>
      </c>
      <c r="N1311" s="499">
        <f t="shared" si="417"/>
        <v>506718.42</v>
      </c>
      <c r="O1311" s="499">
        <f t="shared" si="417"/>
        <v>679055.82</v>
      </c>
      <c r="P1311" s="499">
        <f t="shared" si="417"/>
        <v>999361.48</v>
      </c>
      <c r="Q1311" s="543">
        <f t="shared" si="417"/>
        <v>9029105.3399999999</v>
      </c>
      <c r="R1311" s="505">
        <f>Q1311</f>
        <v>9029105.3399999999</v>
      </c>
    </row>
    <row r="1312" spans="3:18" x14ac:dyDescent="0.2">
      <c r="C1312" s="445"/>
      <c r="D1312" s="301"/>
      <c r="E1312" s="499"/>
      <c r="F1312" s="499"/>
      <c r="G1312" s="499"/>
      <c r="H1312" s="499"/>
      <c r="I1312" s="499"/>
      <c r="J1312" s="499"/>
      <c r="K1312" s="499"/>
      <c r="L1312" s="499"/>
      <c r="M1312" s="499"/>
      <c r="N1312" s="499"/>
      <c r="O1312" s="499"/>
      <c r="P1312" s="499"/>
      <c r="Q1312" s="543"/>
    </row>
    <row r="1313" spans="3:17" x14ac:dyDescent="0.2">
      <c r="C1313" s="445"/>
      <c r="D1313" s="494" t="s">
        <v>387</v>
      </c>
      <c r="E1313" s="301"/>
      <c r="F1313" s="415"/>
      <c r="G1313" s="435"/>
      <c r="H1313" s="415"/>
      <c r="I1313" s="436"/>
      <c r="J1313" s="415"/>
      <c r="K1313" s="415"/>
      <c r="L1313" s="415"/>
      <c r="M1313" s="415"/>
      <c r="N1313" s="415"/>
      <c r="O1313" s="415"/>
      <c r="P1313" s="415"/>
      <c r="Q1313" s="443"/>
    </row>
    <row r="1314" spans="3:17" x14ac:dyDescent="0.2">
      <c r="C1314" s="445"/>
      <c r="D1314" s="300" t="s">
        <v>341</v>
      </c>
      <c r="E1314" s="499">
        <f t="shared" ref="E1314:P1314" si="418">E849++E939+E940+E1009+E1010+E1101+E1102+E1119+E1120+E1211+E1212</f>
        <v>190715.14999999994</v>
      </c>
      <c r="F1314" s="499">
        <f t="shared" si="418"/>
        <v>180098.59999999995</v>
      </c>
      <c r="G1314" s="499">
        <f t="shared" si="418"/>
        <v>190748.59999999995</v>
      </c>
      <c r="H1314" s="499">
        <f t="shared" si="418"/>
        <v>190298.59999999995</v>
      </c>
      <c r="I1314" s="499">
        <f t="shared" si="418"/>
        <v>189436.09999999995</v>
      </c>
      <c r="J1314" s="499">
        <f t="shared" si="418"/>
        <v>188836.09999999995</v>
      </c>
      <c r="K1314" s="499">
        <f t="shared" si="418"/>
        <v>189986.99999999997</v>
      </c>
      <c r="L1314" s="499">
        <f t="shared" si="418"/>
        <v>186674.04999999996</v>
      </c>
      <c r="M1314" s="499">
        <f t="shared" si="418"/>
        <v>185474.04999999996</v>
      </c>
      <c r="N1314" s="499">
        <f t="shared" si="418"/>
        <v>184536.54999999996</v>
      </c>
      <c r="O1314" s="499">
        <f t="shared" si="418"/>
        <v>184867.9</v>
      </c>
      <c r="P1314" s="499">
        <f t="shared" si="418"/>
        <v>211511.19999999995</v>
      </c>
      <c r="Q1314" s="543">
        <f>SUM(E1314:P1314)</f>
        <v>2273183.8999999994</v>
      </c>
    </row>
    <row r="1315" spans="3:17" x14ac:dyDescent="0.2">
      <c r="C1315" s="445"/>
      <c r="D1315" s="300" t="s">
        <v>340</v>
      </c>
      <c r="E1315" s="499">
        <f t="shared" ref="E1315:P1315" si="419">E850+E941++E1011+E1213</f>
        <v>49302.17</v>
      </c>
      <c r="F1315" s="499">
        <f t="shared" si="419"/>
        <v>45031.299999999996</v>
      </c>
      <c r="G1315" s="499">
        <f t="shared" si="419"/>
        <v>47308.979999999996</v>
      </c>
      <c r="H1315" s="499">
        <f t="shared" si="419"/>
        <v>47212.74</v>
      </c>
      <c r="I1315" s="499">
        <f t="shared" si="419"/>
        <v>47028.28</v>
      </c>
      <c r="J1315" s="499">
        <f t="shared" si="419"/>
        <v>46899.96</v>
      </c>
      <c r="K1315" s="499">
        <f t="shared" si="419"/>
        <v>47590.619999999995</v>
      </c>
      <c r="L1315" s="499">
        <f t="shared" si="419"/>
        <v>46659.829999999994</v>
      </c>
      <c r="M1315" s="499">
        <f t="shared" si="419"/>
        <v>46403.189999999995</v>
      </c>
      <c r="N1315" s="499">
        <f t="shared" si="419"/>
        <v>46202.689999999995</v>
      </c>
      <c r="O1315" s="499">
        <f t="shared" si="419"/>
        <v>46483.86</v>
      </c>
      <c r="P1315" s="499">
        <f t="shared" si="419"/>
        <v>57972.700000000004</v>
      </c>
      <c r="Q1315" s="543">
        <f>SUM(E1315:P1315)</f>
        <v>574096.31999999995</v>
      </c>
    </row>
    <row r="1316" spans="3:17" ht="12" x14ac:dyDescent="0.35">
      <c r="C1316" s="445"/>
      <c r="D1316" s="300" t="s">
        <v>378</v>
      </c>
      <c r="E1316" s="544">
        <f t="shared" ref="E1316:P1316" si="420">E863++E952+E1024+E1105+E1123+E1224</f>
        <v>805528.1</v>
      </c>
      <c r="F1316" s="544">
        <f t="shared" si="420"/>
        <v>777514.0399999998</v>
      </c>
      <c r="G1316" s="544">
        <f t="shared" si="420"/>
        <v>621150.56000000006</v>
      </c>
      <c r="H1316" s="544">
        <f t="shared" si="420"/>
        <v>424117.92</v>
      </c>
      <c r="I1316" s="544">
        <f t="shared" si="420"/>
        <v>290295.2</v>
      </c>
      <c r="J1316" s="544">
        <f t="shared" si="420"/>
        <v>228411.20999999996</v>
      </c>
      <c r="K1316" s="544">
        <f t="shared" si="420"/>
        <v>215237.19999999998</v>
      </c>
      <c r="L1316" s="544">
        <f t="shared" si="420"/>
        <v>208997.4</v>
      </c>
      <c r="M1316" s="544">
        <f t="shared" si="420"/>
        <v>226524.57</v>
      </c>
      <c r="N1316" s="544">
        <f t="shared" si="420"/>
        <v>293097.12</v>
      </c>
      <c r="O1316" s="544">
        <f t="shared" si="420"/>
        <v>422078.36999999994</v>
      </c>
      <c r="P1316" s="544">
        <f t="shared" si="420"/>
        <v>621816.76000000013</v>
      </c>
      <c r="Q1316" s="545">
        <f>SUM(E1316:P1316)</f>
        <v>5134768.4499999993</v>
      </c>
    </row>
    <row r="1317" spans="3:17" x14ac:dyDescent="0.2">
      <c r="C1317" s="445"/>
      <c r="D1317" s="301"/>
      <c r="E1317" s="499">
        <f>SUM(E1314:E1316)</f>
        <v>1045545.4199999999</v>
      </c>
      <c r="F1317" s="499">
        <f t="shared" ref="F1317:Q1317" si="421">SUM(F1314:F1316)</f>
        <v>1002643.9399999997</v>
      </c>
      <c r="G1317" s="499">
        <f t="shared" si="421"/>
        <v>859208.14</v>
      </c>
      <c r="H1317" s="499">
        <f t="shared" si="421"/>
        <v>661629.25999999989</v>
      </c>
      <c r="I1317" s="499">
        <f t="shared" si="421"/>
        <v>526759.57999999996</v>
      </c>
      <c r="J1317" s="499">
        <f t="shared" si="421"/>
        <v>464147.2699999999</v>
      </c>
      <c r="K1317" s="499">
        <f t="shared" si="421"/>
        <v>452814.81999999995</v>
      </c>
      <c r="L1317" s="499">
        <f t="shared" si="421"/>
        <v>442331.27999999991</v>
      </c>
      <c r="M1317" s="499">
        <f t="shared" si="421"/>
        <v>458401.80999999994</v>
      </c>
      <c r="N1317" s="499">
        <f t="shared" si="421"/>
        <v>523836.36</v>
      </c>
      <c r="O1317" s="499">
        <f t="shared" si="421"/>
        <v>653430.12999999989</v>
      </c>
      <c r="P1317" s="499">
        <f t="shared" si="421"/>
        <v>891300.66000000015</v>
      </c>
      <c r="Q1317" s="543">
        <f t="shared" si="421"/>
        <v>7982048.6699999981</v>
      </c>
    </row>
    <row r="1318" spans="3:17" x14ac:dyDescent="0.2">
      <c r="C1318" s="445"/>
      <c r="D1318" s="301"/>
      <c r="E1318" s="499"/>
      <c r="F1318" s="499"/>
      <c r="G1318" s="499"/>
      <c r="H1318" s="499"/>
      <c r="I1318" s="499"/>
      <c r="J1318" s="499"/>
      <c r="K1318" s="499"/>
      <c r="L1318" s="499"/>
      <c r="M1318" s="499"/>
      <c r="N1318" s="499"/>
      <c r="O1318" s="499"/>
      <c r="P1318" s="499"/>
      <c r="Q1318" s="543"/>
    </row>
    <row r="1319" spans="3:17" x14ac:dyDescent="0.2">
      <c r="C1319" s="445"/>
      <c r="D1319" s="494" t="s">
        <v>389</v>
      </c>
      <c r="E1319" s="301"/>
      <c r="F1319" s="415"/>
      <c r="G1319" s="435"/>
      <c r="H1319" s="415"/>
      <c r="I1319" s="436"/>
      <c r="J1319" s="415"/>
      <c r="K1319" s="415"/>
      <c r="L1319" s="415"/>
      <c r="M1319" s="415"/>
      <c r="N1319" s="415"/>
      <c r="O1319" s="415"/>
      <c r="P1319" s="415"/>
      <c r="Q1319" s="443"/>
    </row>
    <row r="1320" spans="3:17" x14ac:dyDescent="0.2">
      <c r="C1320" s="445"/>
      <c r="D1320" s="300" t="s">
        <v>341</v>
      </c>
      <c r="E1320" s="499">
        <f t="shared" ref="E1320:P1320" si="422">E894+E966+E967+E1037+E1038+E1083+E1084+E1153+E1154+E1171+E1172+E1237+E1238</f>
        <v>47004.85</v>
      </c>
      <c r="F1320" s="499">
        <f t="shared" si="422"/>
        <v>47004.85</v>
      </c>
      <c r="G1320" s="499">
        <f t="shared" si="422"/>
        <v>46967.35</v>
      </c>
      <c r="H1320" s="499">
        <f t="shared" si="422"/>
        <v>47004.85</v>
      </c>
      <c r="I1320" s="499">
        <f t="shared" si="422"/>
        <v>46967.35</v>
      </c>
      <c r="J1320" s="499">
        <f t="shared" si="422"/>
        <v>46967.35</v>
      </c>
      <c r="K1320" s="499">
        <f t="shared" si="422"/>
        <v>46967.35</v>
      </c>
      <c r="L1320" s="499">
        <f t="shared" si="422"/>
        <v>46967.35</v>
      </c>
      <c r="M1320" s="499">
        <f t="shared" si="422"/>
        <v>46967.35</v>
      </c>
      <c r="N1320" s="499">
        <f t="shared" si="422"/>
        <v>46967.35</v>
      </c>
      <c r="O1320" s="499">
        <f t="shared" si="422"/>
        <v>47004.85</v>
      </c>
      <c r="P1320" s="499">
        <f t="shared" si="422"/>
        <v>47004.85</v>
      </c>
      <c r="Q1320" s="543">
        <f>SUM(E1320:P1320)</f>
        <v>563795.69999999984</v>
      </c>
    </row>
    <row r="1321" spans="3:17" x14ac:dyDescent="0.2">
      <c r="C1321" s="445"/>
      <c r="D1321" s="300" t="s">
        <v>340</v>
      </c>
      <c r="E1321" s="499">
        <f t="shared" ref="E1321:P1321" si="423">E895+E968+E1039</f>
        <v>17758.569999999996</v>
      </c>
      <c r="F1321" s="499">
        <f t="shared" si="423"/>
        <v>17758.569999999996</v>
      </c>
      <c r="G1321" s="499">
        <f t="shared" si="423"/>
        <v>17750.55</v>
      </c>
      <c r="H1321" s="499">
        <f t="shared" si="423"/>
        <v>17758.569999999996</v>
      </c>
      <c r="I1321" s="499">
        <f t="shared" si="423"/>
        <v>17750.55</v>
      </c>
      <c r="J1321" s="499">
        <f t="shared" si="423"/>
        <v>17750.55</v>
      </c>
      <c r="K1321" s="499">
        <f t="shared" si="423"/>
        <v>17750.55</v>
      </c>
      <c r="L1321" s="499">
        <f t="shared" si="423"/>
        <v>17750.55</v>
      </c>
      <c r="M1321" s="499">
        <f t="shared" si="423"/>
        <v>17750.55</v>
      </c>
      <c r="N1321" s="499">
        <f t="shared" si="423"/>
        <v>17750.55</v>
      </c>
      <c r="O1321" s="499">
        <f t="shared" si="423"/>
        <v>17758.569999999996</v>
      </c>
      <c r="P1321" s="499">
        <f t="shared" si="423"/>
        <v>17758.569999999996</v>
      </c>
      <c r="Q1321" s="543">
        <f>SUM(E1321:P1321)</f>
        <v>213046.69999999998</v>
      </c>
    </row>
    <row r="1322" spans="3:17" ht="12" x14ac:dyDescent="0.35">
      <c r="C1322" s="445"/>
      <c r="D1322" s="300" t="s">
        <v>378</v>
      </c>
      <c r="E1322" s="544">
        <f t="shared" ref="E1322:P1322" si="424">E908+E979+E1052+E1087++E1157+E1181+E1247</f>
        <v>430866.02999999997</v>
      </c>
      <c r="F1322" s="544">
        <f t="shared" si="424"/>
        <v>391658.7</v>
      </c>
      <c r="G1322" s="544">
        <f t="shared" si="424"/>
        <v>365656.95999999996</v>
      </c>
      <c r="H1322" s="544">
        <f t="shared" si="424"/>
        <v>321243.54000000004</v>
      </c>
      <c r="I1322" s="544">
        <f t="shared" si="424"/>
        <v>295663.98</v>
      </c>
      <c r="J1322" s="544">
        <f t="shared" si="424"/>
        <v>275897.08999999997</v>
      </c>
      <c r="K1322" s="544">
        <f t="shared" si="424"/>
        <v>256001.3</v>
      </c>
      <c r="L1322" s="544">
        <f t="shared" si="424"/>
        <v>277632.79000000004</v>
      </c>
      <c r="M1322" s="544">
        <f t="shared" si="424"/>
        <v>293653.11</v>
      </c>
      <c r="N1322" s="544">
        <f t="shared" si="424"/>
        <v>334225.69</v>
      </c>
      <c r="O1322" s="544">
        <f t="shared" si="424"/>
        <v>371321.59999999998</v>
      </c>
      <c r="P1322" s="544">
        <f t="shared" si="424"/>
        <v>386940.11</v>
      </c>
      <c r="Q1322" s="545">
        <f>SUM(E1322:P1322)</f>
        <v>4000760.8999999994</v>
      </c>
    </row>
    <row r="1323" spans="3:17" x14ac:dyDescent="0.2">
      <c r="C1323" s="445"/>
      <c r="D1323" s="301"/>
      <c r="E1323" s="499">
        <f t="shared" ref="E1323:Q1323" si="425">SUM(E1320:E1322)</f>
        <v>495629.44999999995</v>
      </c>
      <c r="F1323" s="499">
        <f t="shared" si="425"/>
        <v>456422.12</v>
      </c>
      <c r="G1323" s="499">
        <f t="shared" si="425"/>
        <v>430374.86</v>
      </c>
      <c r="H1323" s="499">
        <f t="shared" si="425"/>
        <v>386006.96</v>
      </c>
      <c r="I1323" s="499">
        <f t="shared" si="425"/>
        <v>360381.88</v>
      </c>
      <c r="J1323" s="499">
        <f t="shared" si="425"/>
        <v>340614.99</v>
      </c>
      <c r="K1323" s="499">
        <f t="shared" si="425"/>
        <v>320719.19999999995</v>
      </c>
      <c r="L1323" s="499">
        <f t="shared" si="425"/>
        <v>342350.69000000006</v>
      </c>
      <c r="M1323" s="499">
        <f t="shared" si="425"/>
        <v>358371.01</v>
      </c>
      <c r="N1323" s="499">
        <f t="shared" si="425"/>
        <v>398943.58999999997</v>
      </c>
      <c r="O1323" s="499">
        <f t="shared" si="425"/>
        <v>436085.01999999996</v>
      </c>
      <c r="P1323" s="499">
        <f t="shared" si="425"/>
        <v>451703.52999999997</v>
      </c>
      <c r="Q1323" s="543">
        <f t="shared" si="425"/>
        <v>4777603.2999999989</v>
      </c>
    </row>
    <row r="1324" spans="3:17" ht="10.8" thickBot="1" x14ac:dyDescent="0.25">
      <c r="C1324" s="445"/>
      <c r="D1324" s="300"/>
      <c r="E1324" s="499"/>
      <c r="F1324" s="499"/>
      <c r="G1324" s="499"/>
      <c r="H1324" s="499"/>
      <c r="I1324" s="499"/>
      <c r="J1324" s="499"/>
      <c r="K1324" s="499"/>
      <c r="L1324" s="499"/>
      <c r="M1324" s="499"/>
      <c r="N1324" s="499"/>
      <c r="O1324" s="499"/>
      <c r="P1324" s="499"/>
      <c r="Q1324" s="543"/>
    </row>
    <row r="1325" spans="3:17" x14ac:dyDescent="0.2">
      <c r="C1325" s="445"/>
      <c r="D1325" s="546" t="s">
        <v>18</v>
      </c>
      <c r="E1325" s="440"/>
      <c r="F1325" s="540"/>
      <c r="G1325" s="541"/>
      <c r="H1325" s="540"/>
      <c r="I1325" s="542"/>
      <c r="J1325" s="540"/>
      <c r="K1325" s="540"/>
      <c r="L1325" s="540"/>
      <c r="M1325" s="540"/>
      <c r="N1325" s="540"/>
      <c r="O1325" s="540"/>
      <c r="P1325" s="540"/>
      <c r="Q1325" s="441"/>
    </row>
    <row r="1326" spans="3:17" x14ac:dyDescent="0.2">
      <c r="C1326" s="445"/>
      <c r="D1326" s="549" t="s">
        <v>341</v>
      </c>
      <c r="E1326" s="499">
        <f>E1306+E1314+E1320</f>
        <v>593519.99999999988</v>
      </c>
      <c r="F1326" s="499">
        <f t="shared" ref="F1326:P1326" si="426">F1306+F1314+F1320</f>
        <v>583878.44999999995</v>
      </c>
      <c r="G1326" s="499">
        <f t="shared" si="426"/>
        <v>594505.94999999995</v>
      </c>
      <c r="H1326" s="499">
        <f t="shared" si="426"/>
        <v>592713.44999999995</v>
      </c>
      <c r="I1326" s="499">
        <f t="shared" si="426"/>
        <v>590583.44999999995</v>
      </c>
      <c r="J1326" s="499">
        <f t="shared" si="426"/>
        <v>586593.44999999995</v>
      </c>
      <c r="K1326" s="499">
        <f t="shared" si="426"/>
        <v>585524.35</v>
      </c>
      <c r="L1326" s="499">
        <f t="shared" si="426"/>
        <v>581986.39999999991</v>
      </c>
      <c r="M1326" s="499">
        <f t="shared" si="426"/>
        <v>580126.39999999991</v>
      </c>
      <c r="N1326" s="499">
        <f t="shared" si="426"/>
        <v>579323.89999999991</v>
      </c>
      <c r="O1326" s="499">
        <f t="shared" si="426"/>
        <v>583742.75</v>
      </c>
      <c r="P1326" s="499">
        <f t="shared" si="426"/>
        <v>613671.04999999993</v>
      </c>
      <c r="Q1326" s="543">
        <f>SUM(E1326:P1326)</f>
        <v>7066169.6000000006</v>
      </c>
    </row>
    <row r="1327" spans="3:17" x14ac:dyDescent="0.2">
      <c r="C1327" s="445"/>
      <c r="D1327" s="549" t="s">
        <v>340</v>
      </c>
      <c r="E1327" s="499">
        <f t="shared" ref="E1327:P1328" si="427">E1307+E1315+E1321</f>
        <v>120430.73999999999</v>
      </c>
      <c r="F1327" s="499">
        <f t="shared" si="427"/>
        <v>116306.11999999998</v>
      </c>
      <c r="G1327" s="499">
        <f t="shared" si="427"/>
        <v>118578.03</v>
      </c>
      <c r="H1327" s="499">
        <f t="shared" si="427"/>
        <v>118282.80999999998</v>
      </c>
      <c r="I1327" s="499">
        <f t="shared" si="427"/>
        <v>117905.83</v>
      </c>
      <c r="J1327" s="499">
        <f t="shared" si="427"/>
        <v>117269.01</v>
      </c>
      <c r="K1327" s="499">
        <f t="shared" si="427"/>
        <v>117626.67</v>
      </c>
      <c r="L1327" s="499">
        <f t="shared" si="427"/>
        <v>116662.12999999999</v>
      </c>
      <c r="M1327" s="499">
        <f t="shared" si="427"/>
        <v>116306.49</v>
      </c>
      <c r="N1327" s="499">
        <f t="shared" si="427"/>
        <v>116126.24</v>
      </c>
      <c r="O1327" s="499">
        <f t="shared" si="427"/>
        <v>117022.93</v>
      </c>
      <c r="P1327" s="499">
        <f t="shared" si="427"/>
        <v>129004.52</v>
      </c>
      <c r="Q1327" s="543">
        <f>SUM(E1327:P1327)</f>
        <v>1421521.52</v>
      </c>
    </row>
    <row r="1328" spans="3:17" x14ac:dyDescent="0.2">
      <c r="C1328" s="445"/>
      <c r="D1328" s="549" t="s">
        <v>378</v>
      </c>
      <c r="E1328" s="499">
        <f t="shared" si="427"/>
        <v>2061436.53</v>
      </c>
      <c r="F1328" s="499">
        <f t="shared" si="427"/>
        <v>1969282.5399999998</v>
      </c>
      <c r="G1328" s="499">
        <f t="shared" si="427"/>
        <v>1587456.52</v>
      </c>
      <c r="H1328" s="499">
        <f t="shared" si="427"/>
        <v>1087618.06</v>
      </c>
      <c r="I1328" s="499">
        <f t="shared" si="427"/>
        <v>746887.78</v>
      </c>
      <c r="J1328" s="499">
        <f t="shared" si="427"/>
        <v>581372.69999999995</v>
      </c>
      <c r="K1328" s="499">
        <f t="shared" si="427"/>
        <v>525636.89999999991</v>
      </c>
      <c r="L1328" s="499">
        <f t="shared" si="427"/>
        <v>538761.99</v>
      </c>
      <c r="M1328" s="499">
        <f t="shared" si="427"/>
        <v>576842.67999999993</v>
      </c>
      <c r="N1328" s="499">
        <f t="shared" si="427"/>
        <v>715720.21</v>
      </c>
      <c r="O1328" s="499">
        <f t="shared" si="427"/>
        <v>1044992.57</v>
      </c>
      <c r="P1328" s="499">
        <f t="shared" si="427"/>
        <v>1568607.0699999998</v>
      </c>
      <c r="Q1328" s="543">
        <f>SUM(E1328:P1328)</f>
        <v>13004615.550000001</v>
      </c>
    </row>
    <row r="1329" spans="3:17" x14ac:dyDescent="0.2">
      <c r="C1329" s="445"/>
      <c r="D1329" s="445" t="s">
        <v>379</v>
      </c>
      <c r="E1329" s="499">
        <f>E1309</f>
        <v>16366.8</v>
      </c>
      <c r="F1329" s="499">
        <f t="shared" ref="F1329:P1329" si="428">F1309</f>
        <v>16411.650000000001</v>
      </c>
      <c r="G1329" s="499">
        <f t="shared" si="428"/>
        <v>16412.34</v>
      </c>
      <c r="H1329" s="499">
        <f t="shared" si="428"/>
        <v>16348.86</v>
      </c>
      <c r="I1329" s="499">
        <f t="shared" si="428"/>
        <v>16292.28</v>
      </c>
      <c r="J1329" s="499">
        <f t="shared" si="428"/>
        <v>16136.34</v>
      </c>
      <c r="K1329" s="499">
        <f t="shared" si="428"/>
        <v>16034.22</v>
      </c>
      <c r="L1329" s="499">
        <f t="shared" si="428"/>
        <v>16023.87</v>
      </c>
      <c r="M1329" s="499">
        <f t="shared" si="428"/>
        <v>15993.51</v>
      </c>
      <c r="N1329" s="499">
        <f t="shared" si="428"/>
        <v>15999.72</v>
      </c>
      <c r="O1329" s="499">
        <f t="shared" si="428"/>
        <v>16186.02</v>
      </c>
      <c r="P1329" s="499">
        <f t="shared" si="428"/>
        <v>16337.13</v>
      </c>
      <c r="Q1329" s="543">
        <f>SUM(E1329:P1329)</f>
        <v>194542.74</v>
      </c>
    </row>
    <row r="1330" spans="3:17" ht="12" x14ac:dyDescent="0.35">
      <c r="C1330" s="445"/>
      <c r="D1330" s="445" t="s">
        <v>381</v>
      </c>
      <c r="E1330" s="544">
        <f>E1310</f>
        <v>21730.799999999999</v>
      </c>
      <c r="F1330" s="544">
        <f t="shared" ref="F1330:P1330" si="429">F1310</f>
        <v>21074.1</v>
      </c>
      <c r="G1330" s="544">
        <f t="shared" si="429"/>
        <v>15820.5</v>
      </c>
      <c r="H1330" s="544">
        <f t="shared" si="429"/>
        <v>9014.7000000000007</v>
      </c>
      <c r="I1330" s="544">
        <f t="shared" si="429"/>
        <v>4238.7</v>
      </c>
      <c r="J1330" s="544">
        <f t="shared" si="429"/>
        <v>2029.8</v>
      </c>
      <c r="K1330" s="544">
        <f t="shared" si="429"/>
        <v>1432.8</v>
      </c>
      <c r="L1330" s="544">
        <f t="shared" si="429"/>
        <v>1373.1</v>
      </c>
      <c r="M1330" s="544">
        <f t="shared" si="429"/>
        <v>1492.5</v>
      </c>
      <c r="N1330" s="544">
        <f t="shared" si="429"/>
        <v>2328.3000000000002</v>
      </c>
      <c r="O1330" s="544">
        <f t="shared" si="429"/>
        <v>6626.7</v>
      </c>
      <c r="P1330" s="544">
        <f t="shared" si="429"/>
        <v>14745.9</v>
      </c>
      <c r="Q1330" s="545">
        <f>SUM(E1330:P1330)</f>
        <v>101907.9</v>
      </c>
    </row>
    <row r="1331" spans="3:17" x14ac:dyDescent="0.2">
      <c r="C1331" s="445"/>
      <c r="D1331" s="445"/>
      <c r="E1331" s="499">
        <f t="shared" ref="E1331:Q1331" si="430">SUM(E1326:E1330)</f>
        <v>2813484.8699999996</v>
      </c>
      <c r="F1331" s="499">
        <f t="shared" si="430"/>
        <v>2706952.86</v>
      </c>
      <c r="G1331" s="499">
        <f t="shared" si="430"/>
        <v>2332773.34</v>
      </c>
      <c r="H1331" s="499">
        <f t="shared" si="430"/>
        <v>1823977.88</v>
      </c>
      <c r="I1331" s="499">
        <f t="shared" si="430"/>
        <v>1475908.04</v>
      </c>
      <c r="J1331" s="499">
        <f t="shared" si="430"/>
        <v>1303401.3</v>
      </c>
      <c r="K1331" s="499">
        <f t="shared" si="430"/>
        <v>1246254.94</v>
      </c>
      <c r="L1331" s="499">
        <f t="shared" si="430"/>
        <v>1254807.4900000002</v>
      </c>
      <c r="M1331" s="499">
        <f t="shared" si="430"/>
        <v>1290761.5799999998</v>
      </c>
      <c r="N1331" s="499">
        <f t="shared" si="430"/>
        <v>1429498.3699999999</v>
      </c>
      <c r="O1331" s="499">
        <f t="shared" si="430"/>
        <v>1768570.97</v>
      </c>
      <c r="P1331" s="499">
        <f t="shared" si="430"/>
        <v>2342365.6699999995</v>
      </c>
      <c r="Q1331" s="543">
        <f t="shared" si="430"/>
        <v>21788757.309999999</v>
      </c>
    </row>
    <row r="1332" spans="3:17" x14ac:dyDescent="0.2">
      <c r="C1332" s="445"/>
      <c r="D1332" s="445"/>
      <c r="E1332" s="499"/>
      <c r="F1332" s="499"/>
      <c r="G1332" s="499"/>
      <c r="H1332" s="499"/>
      <c r="I1332" s="499"/>
      <c r="J1332" s="499"/>
      <c r="K1332" s="499"/>
      <c r="L1332" s="499"/>
      <c r="M1332" s="499"/>
      <c r="N1332" s="499"/>
      <c r="O1332" s="499"/>
      <c r="P1332" s="499"/>
      <c r="Q1332" s="543"/>
    </row>
    <row r="1333" spans="3:17" ht="10.8" thickBot="1" x14ac:dyDescent="0.25">
      <c r="C1333" s="445"/>
      <c r="D1333" s="452"/>
      <c r="E1333" s="551"/>
      <c r="F1333" s="551"/>
      <c r="G1333" s="551"/>
      <c r="H1333" s="551"/>
      <c r="I1333" s="551"/>
      <c r="J1333" s="551"/>
      <c r="K1333" s="551"/>
      <c r="L1333" s="551"/>
      <c r="M1333" s="551"/>
      <c r="N1333" s="551"/>
      <c r="O1333" s="551"/>
      <c r="P1333" s="551"/>
      <c r="Q1333" s="552"/>
    </row>
    <row r="1334" spans="3:17" x14ac:dyDescent="0.2">
      <c r="C1334" s="445" t="s">
        <v>390</v>
      </c>
      <c r="D1334" s="300"/>
      <c r="E1334" s="499"/>
      <c r="F1334" s="499"/>
      <c r="G1334" s="499"/>
      <c r="H1334" s="499"/>
      <c r="I1334" s="499"/>
      <c r="J1334" s="499"/>
      <c r="K1334" s="499"/>
      <c r="L1334" s="499"/>
      <c r="M1334" s="499"/>
      <c r="N1334" s="499"/>
      <c r="O1334" s="499"/>
      <c r="P1334" s="499"/>
      <c r="Q1334" s="543"/>
    </row>
    <row r="1335" spans="3:17" x14ac:dyDescent="0.2">
      <c r="C1335" s="445" t="s">
        <v>346</v>
      </c>
      <c r="D1335" s="300" t="s">
        <v>347</v>
      </c>
      <c r="E1335" s="499">
        <f>E68+E75+E82+E89+E96+E103+E132+E139+E146+E153+E160+E188+E195+E202</f>
        <v>6720309.0499999989</v>
      </c>
      <c r="F1335" s="499">
        <f t="shared" ref="F1335:Q1335" si="431">F68+F75+F82+F89+F96+F103+F132+F139+F146+F153+F160+F188+F195+F202</f>
        <v>6625674.0899999999</v>
      </c>
      <c r="G1335" s="499">
        <f t="shared" si="431"/>
        <v>5487590.4400000004</v>
      </c>
      <c r="H1335" s="499">
        <f t="shared" si="431"/>
        <v>4153757.2</v>
      </c>
      <c r="I1335" s="499">
        <f t="shared" si="431"/>
        <v>3162245.4099999992</v>
      </c>
      <c r="J1335" s="499">
        <f t="shared" si="431"/>
        <v>2711521.5999999996</v>
      </c>
      <c r="K1335" s="499">
        <f t="shared" si="431"/>
        <v>2566761.5899999994</v>
      </c>
      <c r="L1335" s="499">
        <f t="shared" si="431"/>
        <v>2559646.52</v>
      </c>
      <c r="M1335" s="499">
        <f t="shared" si="431"/>
        <v>2552019.5399999996</v>
      </c>
      <c r="N1335" s="499">
        <f t="shared" si="431"/>
        <v>2732617.9100000006</v>
      </c>
      <c r="O1335" s="499">
        <f t="shared" si="431"/>
        <v>3572993.6599999997</v>
      </c>
      <c r="P1335" s="499">
        <f t="shared" si="431"/>
        <v>5256838.7100000009</v>
      </c>
      <c r="Q1335" s="543">
        <f t="shared" si="431"/>
        <v>48101975.719999999</v>
      </c>
    </row>
    <row r="1336" spans="3:17" x14ac:dyDescent="0.2">
      <c r="C1336" s="784"/>
      <c r="D1336" s="300" t="s">
        <v>344</v>
      </c>
      <c r="E1336" s="499">
        <f>E69+E76+E83+E90+E97+E104+E133+E140+E147+E154+E161+E189+E196+E203</f>
        <v>4483477.790000001</v>
      </c>
      <c r="F1336" s="499">
        <f t="shared" ref="F1336:Q1336" si="432">F69+F76+F83+F90+F97+F104+F133+F140+F147+F154+F161+F189+F196+F203</f>
        <v>4376758.3900000006</v>
      </c>
      <c r="G1336" s="499">
        <f t="shared" si="432"/>
        <v>3220650.43</v>
      </c>
      <c r="H1336" s="499">
        <f t="shared" si="432"/>
        <v>1901250.88</v>
      </c>
      <c r="I1336" s="499">
        <f t="shared" si="432"/>
        <v>935708.05000000016</v>
      </c>
      <c r="J1336" s="499">
        <f t="shared" si="432"/>
        <v>513952.18000000005</v>
      </c>
      <c r="K1336" s="499">
        <f t="shared" si="432"/>
        <v>383735.23999999993</v>
      </c>
      <c r="L1336" s="499">
        <f t="shared" si="432"/>
        <v>370504.07000000007</v>
      </c>
      <c r="M1336" s="499">
        <f t="shared" si="432"/>
        <v>374902.17</v>
      </c>
      <c r="N1336" s="499">
        <f t="shared" si="432"/>
        <v>553542.36</v>
      </c>
      <c r="O1336" s="499">
        <f t="shared" si="432"/>
        <v>1351384.0199999998</v>
      </c>
      <c r="P1336" s="499">
        <f t="shared" si="432"/>
        <v>3010084.5300000003</v>
      </c>
      <c r="Q1336" s="543">
        <f t="shared" si="432"/>
        <v>21475950.109999999</v>
      </c>
    </row>
    <row r="1337" spans="3:17" x14ac:dyDescent="0.2">
      <c r="C1337" s="784"/>
      <c r="D1337" s="300" t="s">
        <v>9</v>
      </c>
      <c r="E1337" s="499">
        <f>E70+E77+E84+E91+E98+E105+E134+E141+E148+E155+E162+E190+E197+E204</f>
        <v>11203786.84</v>
      </c>
      <c r="F1337" s="499">
        <f t="shared" ref="F1337:Q1337" si="433">F70+F77+F84+F91+F98+F105+F134+F141+F148+F155+F162+F190+F197+F204</f>
        <v>11002432.48</v>
      </c>
      <c r="G1337" s="499">
        <f t="shared" si="433"/>
        <v>8708240.8699999992</v>
      </c>
      <c r="H1337" s="499">
        <f t="shared" si="433"/>
        <v>6055008.0800000001</v>
      </c>
      <c r="I1337" s="499">
        <f t="shared" si="433"/>
        <v>4097953.4599999995</v>
      </c>
      <c r="J1337" s="499">
        <f t="shared" si="433"/>
        <v>3225473.7800000007</v>
      </c>
      <c r="K1337" s="499">
        <f t="shared" si="433"/>
        <v>2950496.8300000005</v>
      </c>
      <c r="L1337" s="499">
        <f t="shared" si="433"/>
        <v>2930150.59</v>
      </c>
      <c r="M1337" s="499">
        <f t="shared" si="433"/>
        <v>2926921.71</v>
      </c>
      <c r="N1337" s="499">
        <f t="shared" si="433"/>
        <v>3286160.27</v>
      </c>
      <c r="O1337" s="499">
        <f t="shared" si="433"/>
        <v>4924377.6800000006</v>
      </c>
      <c r="P1337" s="499">
        <f t="shared" si="433"/>
        <v>8266923.2400000002</v>
      </c>
      <c r="Q1337" s="543">
        <f t="shared" si="433"/>
        <v>69577925.830000013</v>
      </c>
    </row>
    <row r="1338" spans="3:17" x14ac:dyDescent="0.2">
      <c r="C1338" s="784"/>
      <c r="D1338" s="300"/>
      <c r="E1338" s="499">
        <f>E1302-E1337</f>
        <v>0</v>
      </c>
      <c r="F1338" s="499">
        <f t="shared" ref="F1338:Q1338" si="434">F1302-F1337</f>
        <v>0</v>
      </c>
      <c r="G1338" s="499">
        <f t="shared" si="434"/>
        <v>0</v>
      </c>
      <c r="H1338" s="499">
        <f t="shared" si="434"/>
        <v>0</v>
      </c>
      <c r="I1338" s="499">
        <f t="shared" si="434"/>
        <v>0</v>
      </c>
      <c r="J1338" s="499">
        <f t="shared" si="434"/>
        <v>0</v>
      </c>
      <c r="K1338" s="499">
        <f t="shared" si="434"/>
        <v>0</v>
      </c>
      <c r="L1338" s="499">
        <f t="shared" si="434"/>
        <v>0</v>
      </c>
      <c r="M1338" s="499">
        <f t="shared" si="434"/>
        <v>0</v>
      </c>
      <c r="N1338" s="499">
        <f t="shared" si="434"/>
        <v>0</v>
      </c>
      <c r="O1338" s="499">
        <f t="shared" si="434"/>
        <v>0</v>
      </c>
      <c r="P1338" s="499">
        <f t="shared" si="434"/>
        <v>0</v>
      </c>
      <c r="Q1338" s="543">
        <f t="shared" si="434"/>
        <v>0</v>
      </c>
    </row>
    <row r="1339" spans="3:17" ht="12" x14ac:dyDescent="0.35">
      <c r="C1339" s="784" t="s">
        <v>376</v>
      </c>
      <c r="D1339" s="300" t="s">
        <v>347</v>
      </c>
      <c r="E1339" s="499">
        <f t="shared" ref="E1339:P1339" si="435">E230+E237+E244+E251+E258+E265+E292+E299+E306+E313+E320+E327+E354+E361</f>
        <v>2813484.87</v>
      </c>
      <c r="F1339" s="499">
        <f t="shared" si="435"/>
        <v>2706952.86</v>
      </c>
      <c r="G1339" s="499">
        <f t="shared" si="435"/>
        <v>2332773.3400000003</v>
      </c>
      <c r="H1339" s="499">
        <f t="shared" si="435"/>
        <v>1823977.8800000001</v>
      </c>
      <c r="I1339" s="499">
        <f t="shared" si="435"/>
        <v>1475908.04</v>
      </c>
      <c r="J1339" s="499">
        <f t="shared" si="435"/>
        <v>1303401.3</v>
      </c>
      <c r="K1339" s="499">
        <f t="shared" si="435"/>
        <v>1246254.9400000002</v>
      </c>
      <c r="L1339" s="499">
        <f t="shared" si="435"/>
        <v>1254807.4899999998</v>
      </c>
      <c r="M1339" s="499">
        <f t="shared" si="435"/>
        <v>1290761.5799999998</v>
      </c>
      <c r="N1339" s="499">
        <f t="shared" si="435"/>
        <v>1429498.3699999999</v>
      </c>
      <c r="O1339" s="499">
        <f t="shared" si="435"/>
        <v>1768570.97</v>
      </c>
      <c r="P1339" s="499">
        <f t="shared" si="435"/>
        <v>2342365.6700000004</v>
      </c>
      <c r="Q1339" s="545">
        <f>SUM(E1339:P1339)</f>
        <v>21788757.310000002</v>
      </c>
    </row>
    <row r="1340" spans="3:17" x14ac:dyDescent="0.2">
      <c r="C1340" s="784"/>
      <c r="D1340" s="300" t="s">
        <v>344</v>
      </c>
      <c r="E1340" s="499">
        <f t="shared" ref="E1340:P1340" si="436">E231+E238+E245+E252+E259+E266+E293+E300+E307+E314+E321+E328+E355+E362</f>
        <v>0</v>
      </c>
      <c r="F1340" s="499">
        <f t="shared" si="436"/>
        <v>0</v>
      </c>
      <c r="G1340" s="499">
        <f t="shared" si="436"/>
        <v>0</v>
      </c>
      <c r="H1340" s="499">
        <f t="shared" si="436"/>
        <v>0</v>
      </c>
      <c r="I1340" s="499">
        <f t="shared" si="436"/>
        <v>0</v>
      </c>
      <c r="J1340" s="499">
        <f t="shared" si="436"/>
        <v>0</v>
      </c>
      <c r="K1340" s="499">
        <f t="shared" si="436"/>
        <v>0</v>
      </c>
      <c r="L1340" s="499">
        <f t="shared" si="436"/>
        <v>0</v>
      </c>
      <c r="M1340" s="499">
        <f t="shared" si="436"/>
        <v>0</v>
      </c>
      <c r="N1340" s="499">
        <f t="shared" si="436"/>
        <v>0</v>
      </c>
      <c r="O1340" s="499">
        <f t="shared" si="436"/>
        <v>0</v>
      </c>
      <c r="P1340" s="499">
        <f t="shared" si="436"/>
        <v>185945</v>
      </c>
      <c r="Q1340" s="543">
        <f>SUM(E1340:P1340)</f>
        <v>185945</v>
      </c>
    </row>
    <row r="1341" spans="3:17" x14ac:dyDescent="0.2">
      <c r="C1341" s="784"/>
      <c r="D1341" s="300" t="s">
        <v>9</v>
      </c>
      <c r="E1341" s="499">
        <f t="shared" ref="E1341:P1341" si="437">E232+E239+E246+E253+E260+E267+E294+E301+E308+E315+E322+E329+E356+E363</f>
        <v>2813484.87</v>
      </c>
      <c r="F1341" s="499">
        <f t="shared" si="437"/>
        <v>2706952.86</v>
      </c>
      <c r="G1341" s="499">
        <f t="shared" si="437"/>
        <v>2332773.3400000003</v>
      </c>
      <c r="H1341" s="499">
        <f t="shared" si="437"/>
        <v>1823977.8800000001</v>
      </c>
      <c r="I1341" s="499">
        <f t="shared" si="437"/>
        <v>1475908.04</v>
      </c>
      <c r="J1341" s="499">
        <f t="shared" si="437"/>
        <v>1303401.3</v>
      </c>
      <c r="K1341" s="499">
        <f t="shared" si="437"/>
        <v>1246254.9400000002</v>
      </c>
      <c r="L1341" s="499">
        <f t="shared" si="437"/>
        <v>1254807.4899999998</v>
      </c>
      <c r="M1341" s="499">
        <f t="shared" si="437"/>
        <v>1290761.5799999998</v>
      </c>
      <c r="N1341" s="499">
        <f t="shared" si="437"/>
        <v>1429498.3699999999</v>
      </c>
      <c r="O1341" s="499">
        <f t="shared" si="437"/>
        <v>1768570.97</v>
      </c>
      <c r="P1341" s="499">
        <f t="shared" si="437"/>
        <v>2528310.6700000004</v>
      </c>
      <c r="Q1341" s="543">
        <f>SUM(E1341:P1341)</f>
        <v>21974702.310000002</v>
      </c>
    </row>
    <row r="1342" spans="3:17" x14ac:dyDescent="0.2">
      <c r="C1342" s="784"/>
      <c r="D1342" s="300"/>
      <c r="E1342" s="499">
        <f>E1331-E1341</f>
        <v>0</v>
      </c>
      <c r="F1342" s="499">
        <f t="shared" ref="F1342:Q1342" si="438">F1331-F1341</f>
        <v>0</v>
      </c>
      <c r="G1342" s="499">
        <f t="shared" si="438"/>
        <v>0</v>
      </c>
      <c r="H1342" s="499">
        <f t="shared" si="438"/>
        <v>0</v>
      </c>
      <c r="I1342" s="499">
        <f t="shared" si="438"/>
        <v>0</v>
      </c>
      <c r="J1342" s="499">
        <f t="shared" si="438"/>
        <v>0</v>
      </c>
      <c r="K1342" s="499">
        <f t="shared" si="438"/>
        <v>0</v>
      </c>
      <c r="L1342" s="499">
        <f t="shared" si="438"/>
        <v>0</v>
      </c>
      <c r="M1342" s="499">
        <f t="shared" si="438"/>
        <v>0</v>
      </c>
      <c r="N1342" s="499">
        <f t="shared" si="438"/>
        <v>0</v>
      </c>
      <c r="O1342" s="499">
        <f t="shared" si="438"/>
        <v>0</v>
      </c>
      <c r="P1342" s="499">
        <f t="shared" si="438"/>
        <v>-185945.00000000093</v>
      </c>
      <c r="Q1342" s="543">
        <f t="shared" si="438"/>
        <v>-185945.00000000373</v>
      </c>
    </row>
    <row r="1343" spans="3:17" x14ac:dyDescent="0.2">
      <c r="C1343" s="784" t="s">
        <v>339</v>
      </c>
      <c r="D1343" s="300"/>
      <c r="E1343" s="499">
        <f t="shared" ref="E1343:Q1343" si="439">SUM(E1261:E1274)-E1337-E1341</f>
        <v>4882340.0000000009</v>
      </c>
      <c r="F1343" s="499">
        <f t="shared" si="439"/>
        <v>4812670.93</v>
      </c>
      <c r="G1343" s="499">
        <f t="shared" si="439"/>
        <v>3729604.5500000003</v>
      </c>
      <c r="H1343" s="499">
        <f t="shared" si="439"/>
        <v>2353377.1599999992</v>
      </c>
      <c r="I1343" s="499">
        <f t="shared" si="439"/>
        <v>1367239.4999999995</v>
      </c>
      <c r="J1343" s="499">
        <f t="shared" si="439"/>
        <v>909632.35999999871</v>
      </c>
      <c r="K1343" s="499">
        <f t="shared" si="439"/>
        <v>792486.97999999928</v>
      </c>
      <c r="L1343" s="499">
        <f t="shared" si="439"/>
        <v>773310.13000000129</v>
      </c>
      <c r="M1343" s="499">
        <f t="shared" si="439"/>
        <v>739559.35999999964</v>
      </c>
      <c r="N1343" s="499">
        <f t="shared" si="439"/>
        <v>831153.12000000081</v>
      </c>
      <c r="O1343" s="499">
        <f t="shared" si="439"/>
        <v>1722410.199999999</v>
      </c>
      <c r="P1343" s="499">
        <f t="shared" si="439"/>
        <v>3240512.0499999966</v>
      </c>
      <c r="Q1343" s="543">
        <f t="shared" si="439"/>
        <v>26154296.339999989</v>
      </c>
    </row>
    <row r="1344" spans="3:17" ht="10.8" thickBot="1" x14ac:dyDescent="0.25">
      <c r="C1344" s="550"/>
      <c r="D1344" s="550"/>
      <c r="E1344" s="453"/>
      <c r="F1344" s="553"/>
      <c r="G1344" s="554"/>
      <c r="H1344" s="553"/>
      <c r="I1344" s="555"/>
      <c r="J1344" s="553"/>
      <c r="K1344" s="553"/>
      <c r="L1344" s="553"/>
      <c r="M1344" s="553"/>
      <c r="N1344" s="553"/>
      <c r="O1344" s="553"/>
      <c r="P1344" s="553"/>
      <c r="Q1344" s="454"/>
    </row>
    <row r="1345" spans="4:18" ht="10.8" thickBot="1" x14ac:dyDescent="0.25"/>
    <row r="1346" spans="4:18" x14ac:dyDescent="0.2">
      <c r="D1346" s="556" t="s">
        <v>355</v>
      </c>
      <c r="E1346" s="557"/>
      <c r="F1346" s="558"/>
      <c r="G1346" s="559"/>
      <c r="H1346" s="560"/>
      <c r="I1346" s="559"/>
      <c r="J1346" s="561"/>
      <c r="K1346" s="559"/>
      <c r="L1346" s="559"/>
      <c r="M1346" s="559"/>
      <c r="N1346" s="559"/>
      <c r="O1346" s="559"/>
      <c r="P1346" s="559"/>
      <c r="Q1346" s="559"/>
      <c r="R1346" s="562"/>
    </row>
    <row r="1347" spans="4:18" x14ac:dyDescent="0.2">
      <c r="D1347" s="563" t="s">
        <v>343</v>
      </c>
      <c r="E1347" s="564" t="s">
        <v>348</v>
      </c>
      <c r="F1347" s="565">
        <v>9239153.5</v>
      </c>
      <c r="G1347" s="565">
        <v>8822761.5</v>
      </c>
      <c r="H1347" s="565">
        <v>6987268.7300000004</v>
      </c>
      <c r="I1347" s="565">
        <v>4750562.58</v>
      </c>
      <c r="J1347" s="565">
        <v>2713868.94</v>
      </c>
      <c r="K1347" s="565">
        <v>1969728.21</v>
      </c>
      <c r="L1347" s="565">
        <v>1712865.46</v>
      </c>
      <c r="M1347" s="565">
        <v>1697393.15</v>
      </c>
      <c r="N1347" s="565">
        <v>1720632.95</v>
      </c>
      <c r="O1347" s="565">
        <v>2040068.02</v>
      </c>
      <c r="P1347" s="565">
        <v>3448717.08</v>
      </c>
      <c r="Q1347" s="565">
        <v>6422169.5099999998</v>
      </c>
      <c r="R1347" s="566">
        <f t="shared" ref="R1347:R1352" si="440">SUM(F1347:Q1347)</f>
        <v>51525189.630000003</v>
      </c>
    </row>
    <row r="1348" spans="4:18" x14ac:dyDescent="0.2">
      <c r="D1348" s="563"/>
      <c r="E1348" s="564" t="s">
        <v>349</v>
      </c>
      <c r="F1348" s="565">
        <v>-8703.89</v>
      </c>
      <c r="G1348" s="565">
        <v>-9198.76</v>
      </c>
      <c r="H1348" s="565">
        <v>-3580.53</v>
      </c>
      <c r="I1348" s="565">
        <v>-3551.42</v>
      </c>
      <c r="J1348" s="565">
        <v>-3405.87</v>
      </c>
      <c r="K1348" s="565">
        <v>-3202.1</v>
      </c>
      <c r="L1348" s="565">
        <v>-4250.0600000000004</v>
      </c>
      <c r="M1348" s="565">
        <v>-3900.74</v>
      </c>
      <c r="N1348" s="565">
        <v>-4832.26</v>
      </c>
      <c r="O1348" s="565">
        <v>-5967.55</v>
      </c>
      <c r="P1348" s="565">
        <v>-8121.69</v>
      </c>
      <c r="Q1348" s="565">
        <v>-8994.99</v>
      </c>
      <c r="R1348" s="566">
        <f t="shared" si="440"/>
        <v>-67709.86</v>
      </c>
    </row>
    <row r="1349" spans="4:18" x14ac:dyDescent="0.2">
      <c r="D1349" s="563"/>
      <c r="E1349" s="564" t="s">
        <v>349</v>
      </c>
      <c r="F1349" s="565">
        <v>4046911.13</v>
      </c>
      <c r="G1349" s="565">
        <v>3805571.67</v>
      </c>
      <c r="H1349" s="565">
        <v>2742495.78</v>
      </c>
      <c r="I1349" s="565">
        <v>1784422.65</v>
      </c>
      <c r="J1349" s="565">
        <v>967173.24</v>
      </c>
      <c r="K1349" s="565">
        <v>737819.97</v>
      </c>
      <c r="L1349" s="565">
        <v>635403.79</v>
      </c>
      <c r="M1349" s="565">
        <v>544775.28</v>
      </c>
      <c r="N1349" s="565">
        <v>616374.18000000005</v>
      </c>
      <c r="O1349" s="565">
        <v>654449.74</v>
      </c>
      <c r="P1349" s="565">
        <v>1143752.42</v>
      </c>
      <c r="Q1349" s="565">
        <v>2589865.61</v>
      </c>
      <c r="R1349" s="566">
        <f t="shared" si="440"/>
        <v>20269015.460000001</v>
      </c>
    </row>
    <row r="1350" spans="4:18" x14ac:dyDescent="0.2">
      <c r="D1350" s="563"/>
      <c r="E1350" s="564" t="s">
        <v>350</v>
      </c>
      <c r="F1350" s="565">
        <v>100095.9</v>
      </c>
      <c r="G1350" s="565">
        <v>89710.89</v>
      </c>
      <c r="H1350" s="565">
        <v>75276.72</v>
      </c>
      <c r="I1350" s="565">
        <v>64074.51</v>
      </c>
      <c r="J1350" s="565">
        <v>53354.11</v>
      </c>
      <c r="K1350" s="565">
        <v>53372.92</v>
      </c>
      <c r="L1350" s="565">
        <v>53397.26</v>
      </c>
      <c r="M1350" s="565">
        <v>52870.28</v>
      </c>
      <c r="N1350" s="565">
        <v>47165.93</v>
      </c>
      <c r="O1350" s="565">
        <v>58733.86</v>
      </c>
      <c r="P1350" s="565">
        <v>63446.98</v>
      </c>
      <c r="Q1350" s="565">
        <v>94828.77</v>
      </c>
      <c r="R1350" s="566">
        <f t="shared" si="440"/>
        <v>806328.13</v>
      </c>
    </row>
    <row r="1351" spans="4:18" x14ac:dyDescent="0.2">
      <c r="D1351" s="563"/>
      <c r="E1351" s="564" t="s">
        <v>353</v>
      </c>
      <c r="F1351" s="565">
        <v>22660.86</v>
      </c>
      <c r="G1351" s="565">
        <v>11904.77</v>
      </c>
      <c r="H1351" s="565">
        <v>5315.5</v>
      </c>
      <c r="I1351" s="565">
        <v>3998.63</v>
      </c>
      <c r="J1351" s="565">
        <v>2799.69</v>
      </c>
      <c r="K1351" s="565">
        <v>2784.95</v>
      </c>
      <c r="L1351" s="565">
        <v>2883.22</v>
      </c>
      <c r="M1351" s="565">
        <v>3983.89</v>
      </c>
      <c r="N1351" s="565">
        <v>2853.74</v>
      </c>
      <c r="O1351" s="565">
        <v>6416.17</v>
      </c>
      <c r="P1351" s="565">
        <v>4976.46</v>
      </c>
      <c r="Q1351" s="565">
        <v>6396.52</v>
      </c>
      <c r="R1351" s="566">
        <f t="shared" si="440"/>
        <v>76974.400000000009</v>
      </c>
    </row>
    <row r="1352" spans="4:18" ht="12" x14ac:dyDescent="0.35">
      <c r="D1352" s="563"/>
      <c r="E1352" s="564" t="s">
        <v>354</v>
      </c>
      <c r="F1352" s="567">
        <v>3428.74</v>
      </c>
      <c r="G1352" s="567">
        <v>3176.4</v>
      </c>
      <c r="H1352" s="567">
        <v>2163.4499999999998</v>
      </c>
      <c r="I1352" s="567">
        <v>2407.5700000000002</v>
      </c>
      <c r="J1352" s="567">
        <v>70872.61</v>
      </c>
      <c r="K1352" s="567">
        <v>26945.74</v>
      </c>
      <c r="L1352" s="567">
        <v>19911.490000000002</v>
      </c>
      <c r="M1352" s="567">
        <v>15628.04</v>
      </c>
      <c r="N1352" s="567">
        <v>2495.6799999999998</v>
      </c>
      <c r="O1352" s="567">
        <v>29.11</v>
      </c>
      <c r="P1352" s="567">
        <v>2525.02</v>
      </c>
      <c r="Q1352" s="567">
        <v>960.74</v>
      </c>
      <c r="R1352" s="568">
        <f t="shared" si="440"/>
        <v>150544.58999999997</v>
      </c>
    </row>
    <row r="1353" spans="4:18" x14ac:dyDescent="0.2">
      <c r="D1353" s="563"/>
      <c r="E1353" s="564"/>
      <c r="F1353" s="569">
        <f>SUM(F1347:F1352)</f>
        <v>13403546.239999998</v>
      </c>
      <c r="G1353" s="569">
        <f t="shared" ref="G1353:R1353" si="441">SUM(G1347:G1352)</f>
        <v>12723926.470000001</v>
      </c>
      <c r="H1353" s="569">
        <f t="shared" si="441"/>
        <v>9808939.6500000004</v>
      </c>
      <c r="I1353" s="569">
        <f t="shared" si="441"/>
        <v>6601914.5200000005</v>
      </c>
      <c r="J1353" s="569">
        <f t="shared" si="441"/>
        <v>3804662.7199999993</v>
      </c>
      <c r="K1353" s="569">
        <f t="shared" si="441"/>
        <v>2787449.6900000004</v>
      </c>
      <c r="L1353" s="569">
        <f t="shared" si="441"/>
        <v>2420211.16</v>
      </c>
      <c r="M1353" s="569">
        <f t="shared" si="441"/>
        <v>2310749.9</v>
      </c>
      <c r="N1353" s="569">
        <f t="shared" si="441"/>
        <v>2384690.2200000007</v>
      </c>
      <c r="O1353" s="569">
        <f t="shared" si="441"/>
        <v>2753729.3499999996</v>
      </c>
      <c r="P1353" s="569">
        <f t="shared" si="441"/>
        <v>4655296.2700000005</v>
      </c>
      <c r="Q1353" s="569">
        <f t="shared" si="441"/>
        <v>9105226.1599999983</v>
      </c>
      <c r="R1353" s="566">
        <f t="shared" si="441"/>
        <v>72760342.350000009</v>
      </c>
    </row>
    <row r="1354" spans="4:18" x14ac:dyDescent="0.2">
      <c r="D1354" s="563"/>
      <c r="E1354" s="564"/>
      <c r="F1354" s="569"/>
      <c r="G1354" s="570"/>
      <c r="H1354" s="571"/>
      <c r="I1354" s="570"/>
      <c r="J1354" s="572"/>
      <c r="K1354" s="570"/>
      <c r="L1354" s="570"/>
      <c r="M1354" s="570"/>
      <c r="N1354" s="570"/>
      <c r="O1354" s="570"/>
      <c r="P1354" s="570"/>
      <c r="Q1354" s="570"/>
      <c r="R1354" s="573"/>
    </row>
    <row r="1355" spans="4:18" x14ac:dyDescent="0.2">
      <c r="D1355" s="563" t="s">
        <v>345</v>
      </c>
      <c r="E1355" s="564" t="s">
        <v>348</v>
      </c>
      <c r="F1355" s="565">
        <v>1145792.3700000001</v>
      </c>
      <c r="G1355" s="565">
        <v>1105723.68</v>
      </c>
      <c r="H1355" s="565">
        <v>923122.5</v>
      </c>
      <c r="I1355" s="565">
        <v>700188.24</v>
      </c>
      <c r="J1355" s="565">
        <v>496037.67</v>
      </c>
      <c r="K1355" s="565">
        <v>419728.8</v>
      </c>
      <c r="L1355" s="565">
        <v>394190.88</v>
      </c>
      <c r="M1355" s="565">
        <v>391294.47</v>
      </c>
      <c r="N1355" s="565">
        <v>392939.73</v>
      </c>
      <c r="O1355" s="565">
        <v>427033.2</v>
      </c>
      <c r="P1355" s="565">
        <v>568053.12</v>
      </c>
      <c r="Q1355" s="565">
        <v>865399.77</v>
      </c>
      <c r="R1355" s="566">
        <f t="shared" ref="R1355:R1360" si="442">SUM(F1355:Q1355)</f>
        <v>7829504.4299999997</v>
      </c>
    </row>
    <row r="1356" spans="4:18" x14ac:dyDescent="0.2">
      <c r="D1356" s="563"/>
      <c r="E1356" s="564" t="s">
        <v>349</v>
      </c>
      <c r="F1356" s="565">
        <v>2998.33</v>
      </c>
      <c r="G1356" s="565">
        <v>3638.75</v>
      </c>
      <c r="H1356" s="565">
        <v>-1630.16</v>
      </c>
      <c r="I1356" s="565">
        <v>-2008.59</v>
      </c>
      <c r="J1356" s="565">
        <v>-2387.02</v>
      </c>
      <c r="K1356" s="565">
        <v>-2561.6799999999998</v>
      </c>
      <c r="L1356" s="565">
        <v>-3114.77</v>
      </c>
      <c r="M1356" s="565">
        <v>-3114.77</v>
      </c>
      <c r="N1356" s="565">
        <v>-3085.66</v>
      </c>
      <c r="O1356" s="565">
        <v>-2212.36</v>
      </c>
      <c r="P1356" s="565">
        <v>-669.53</v>
      </c>
      <c r="Q1356" s="565">
        <v>960.63</v>
      </c>
      <c r="R1356" s="566">
        <f t="shared" si="442"/>
        <v>-13186.830000000002</v>
      </c>
    </row>
    <row r="1357" spans="4:18" x14ac:dyDescent="0.2">
      <c r="D1357" s="563"/>
      <c r="E1357" s="564" t="s">
        <v>349</v>
      </c>
      <c r="F1357" s="565">
        <v>260976.56</v>
      </c>
      <c r="G1357" s="565">
        <v>234524.64</v>
      </c>
      <c r="H1357" s="565">
        <v>216042.98</v>
      </c>
      <c r="I1357" s="565">
        <v>160959.87</v>
      </c>
      <c r="J1357" s="565">
        <v>131076.72</v>
      </c>
      <c r="K1357" s="565">
        <v>107709.33</v>
      </c>
      <c r="L1357" s="565">
        <v>112167.24</v>
      </c>
      <c r="M1357" s="565">
        <v>118577.8</v>
      </c>
      <c r="N1357" s="565">
        <v>120342.51</v>
      </c>
      <c r="O1357" s="565">
        <v>147876.25</v>
      </c>
      <c r="P1357" s="565">
        <v>183244.79</v>
      </c>
      <c r="Q1357" s="565">
        <v>244058.37</v>
      </c>
      <c r="R1357" s="566">
        <f t="shared" si="442"/>
        <v>2037557.06</v>
      </c>
    </row>
    <row r="1358" spans="4:18" x14ac:dyDescent="0.2">
      <c r="D1358" s="563"/>
      <c r="E1358" s="564" t="s">
        <v>350</v>
      </c>
      <c r="F1358" s="565">
        <v>552523.85</v>
      </c>
      <c r="G1358" s="565">
        <v>504835.39</v>
      </c>
      <c r="H1358" s="565">
        <v>474614.4</v>
      </c>
      <c r="I1358" s="565">
        <v>421481.4</v>
      </c>
      <c r="J1358" s="565">
        <v>384543.58</v>
      </c>
      <c r="K1358" s="565">
        <v>353811.29</v>
      </c>
      <c r="L1358" s="565">
        <v>343983.28</v>
      </c>
      <c r="M1358" s="565">
        <v>364135.95</v>
      </c>
      <c r="N1358" s="565">
        <v>374699.27</v>
      </c>
      <c r="O1358" s="565">
        <v>414260.49</v>
      </c>
      <c r="P1358" s="565">
        <v>454119.23</v>
      </c>
      <c r="Q1358" s="565">
        <v>491014.74</v>
      </c>
      <c r="R1358" s="566">
        <f t="shared" si="442"/>
        <v>5134022.870000001</v>
      </c>
    </row>
    <row r="1359" spans="4:18" x14ac:dyDescent="0.2">
      <c r="D1359" s="563"/>
      <c r="E1359" s="564" t="s">
        <v>351</v>
      </c>
      <c r="F1359" s="565">
        <v>732182.19</v>
      </c>
      <c r="G1359" s="565">
        <v>672708.27</v>
      </c>
      <c r="H1359" s="565">
        <v>569605.44999999995</v>
      </c>
      <c r="I1359" s="565">
        <v>398350.37</v>
      </c>
      <c r="J1359" s="565">
        <v>287914.64</v>
      </c>
      <c r="K1359" s="565">
        <v>245145.87</v>
      </c>
      <c r="L1359" s="565">
        <v>232161.04</v>
      </c>
      <c r="M1359" s="565">
        <v>228218.58</v>
      </c>
      <c r="N1359" s="565">
        <v>247541.04</v>
      </c>
      <c r="O1359" s="565">
        <v>276300.13</v>
      </c>
      <c r="P1359" s="565">
        <v>364070.39</v>
      </c>
      <c r="Q1359" s="565">
        <v>556698.84</v>
      </c>
      <c r="R1359" s="566">
        <f t="shared" si="442"/>
        <v>4810896.8099999996</v>
      </c>
    </row>
    <row r="1360" spans="4:18" ht="12" x14ac:dyDescent="0.35">
      <c r="D1360" s="563"/>
      <c r="E1360" s="564" t="s">
        <v>352</v>
      </c>
      <c r="F1360" s="567">
        <v>7404.48</v>
      </c>
      <c r="G1360" s="567">
        <v>7407.77</v>
      </c>
      <c r="H1360" s="567">
        <v>7431.02</v>
      </c>
      <c r="I1360" s="567">
        <v>7292.8</v>
      </c>
      <c r="J1360" s="567">
        <v>7258.96</v>
      </c>
      <c r="K1360" s="567">
        <v>7239.4</v>
      </c>
      <c r="L1360" s="567">
        <v>7156.63</v>
      </c>
      <c r="M1360" s="567">
        <v>7141.2</v>
      </c>
      <c r="N1360" s="567">
        <v>7162.21</v>
      </c>
      <c r="O1360" s="567">
        <v>7286.7</v>
      </c>
      <c r="P1360" s="567">
        <v>7406.32</v>
      </c>
      <c r="Q1360" s="567">
        <v>7420.75</v>
      </c>
      <c r="R1360" s="568">
        <f t="shared" si="442"/>
        <v>87608.239999999991</v>
      </c>
    </row>
    <row r="1361" spans="4:18" x14ac:dyDescent="0.2">
      <c r="D1361" s="563"/>
      <c r="E1361" s="564"/>
      <c r="F1361" s="569">
        <f>SUM(F1355:F1360)</f>
        <v>2701877.7800000003</v>
      </c>
      <c r="G1361" s="569">
        <f t="shared" ref="G1361:R1361" si="443">SUM(G1355:G1360)</f>
        <v>2528838.5</v>
      </c>
      <c r="H1361" s="569">
        <f t="shared" si="443"/>
        <v>2189186.19</v>
      </c>
      <c r="I1361" s="569">
        <f t="shared" si="443"/>
        <v>1686264.09</v>
      </c>
      <c r="J1361" s="569">
        <f t="shared" si="443"/>
        <v>1304444.5499999998</v>
      </c>
      <c r="K1361" s="569">
        <f t="shared" si="443"/>
        <v>1131073.0099999998</v>
      </c>
      <c r="L1361" s="569">
        <f t="shared" si="443"/>
        <v>1086544.2999999998</v>
      </c>
      <c r="M1361" s="569">
        <f t="shared" si="443"/>
        <v>1106253.23</v>
      </c>
      <c r="N1361" s="569">
        <f t="shared" si="443"/>
        <v>1139599.1000000001</v>
      </c>
      <c r="O1361" s="569">
        <f t="shared" si="443"/>
        <v>1270544.4099999999</v>
      </c>
      <c r="P1361" s="569">
        <f t="shared" si="443"/>
        <v>1576224.32</v>
      </c>
      <c r="Q1361" s="569">
        <f t="shared" si="443"/>
        <v>2165553.1</v>
      </c>
      <c r="R1361" s="566">
        <f t="shared" si="443"/>
        <v>19886402.579999998</v>
      </c>
    </row>
    <row r="1362" spans="4:18" x14ac:dyDescent="0.2">
      <c r="D1362" s="563"/>
      <c r="E1362" s="564"/>
      <c r="F1362" s="569"/>
      <c r="G1362" s="570"/>
      <c r="H1362" s="571"/>
      <c r="I1362" s="570"/>
      <c r="J1362" s="572"/>
      <c r="K1362" s="570"/>
      <c r="L1362" s="570"/>
      <c r="M1362" s="570"/>
      <c r="N1362" s="570"/>
      <c r="O1362" s="570"/>
      <c r="P1362" s="570"/>
      <c r="Q1362" s="570"/>
      <c r="R1362" s="573"/>
    </row>
    <row r="1363" spans="4:18" x14ac:dyDescent="0.2">
      <c r="D1363" s="563" t="s">
        <v>356</v>
      </c>
      <c r="E1363" s="564"/>
      <c r="F1363" s="569">
        <f t="shared" ref="F1363:R1363" si="444">E1261+E1262+E1263+E1264+E1265</f>
        <v>7745365.1400000006</v>
      </c>
      <c r="G1363" s="569">
        <f t="shared" si="444"/>
        <v>7565619.6100000003</v>
      </c>
      <c r="H1363" s="569">
        <f t="shared" si="444"/>
        <v>6121915.8000000007</v>
      </c>
      <c r="I1363" s="569">
        <f t="shared" si="444"/>
        <v>4259775.0299999993</v>
      </c>
      <c r="J1363" s="569">
        <f t="shared" si="444"/>
        <v>2940210.17</v>
      </c>
      <c r="K1363" s="569">
        <f t="shared" si="444"/>
        <v>2314867.12</v>
      </c>
      <c r="L1363" s="569">
        <f t="shared" si="444"/>
        <v>2142910.4700000002</v>
      </c>
      <c r="M1363" s="569">
        <f t="shared" si="444"/>
        <v>2136325.7600000002</v>
      </c>
      <c r="N1363" s="569">
        <f t="shared" si="444"/>
        <v>2138237.9899999998</v>
      </c>
      <c r="O1363" s="569">
        <f t="shared" si="444"/>
        <v>2374642.33</v>
      </c>
      <c r="P1363" s="569">
        <f t="shared" si="444"/>
        <v>3587689.4299999997</v>
      </c>
      <c r="Q1363" s="569">
        <f t="shared" si="444"/>
        <v>5833041.7599999998</v>
      </c>
      <c r="R1363" s="566">
        <f t="shared" si="444"/>
        <v>49160600.609999999</v>
      </c>
    </row>
    <row r="1364" spans="4:18" x14ac:dyDescent="0.2">
      <c r="D1364" s="563"/>
      <c r="E1364" s="564"/>
      <c r="F1364" s="569">
        <f>F1363-F1353</f>
        <v>-5658181.0999999978</v>
      </c>
      <c r="G1364" s="569">
        <f t="shared" ref="G1364:R1364" si="445">G1363-G1353</f>
        <v>-5158306.8600000003</v>
      </c>
      <c r="H1364" s="569">
        <f t="shared" si="445"/>
        <v>-3687023.8499999996</v>
      </c>
      <c r="I1364" s="569">
        <f t="shared" si="445"/>
        <v>-2342139.4900000012</v>
      </c>
      <c r="J1364" s="569">
        <f t="shared" si="445"/>
        <v>-864452.54999999935</v>
      </c>
      <c r="K1364" s="569">
        <f t="shared" si="445"/>
        <v>-472582.5700000003</v>
      </c>
      <c r="L1364" s="569">
        <f t="shared" si="445"/>
        <v>-277300.68999999994</v>
      </c>
      <c r="M1364" s="569">
        <f t="shared" si="445"/>
        <v>-174424.13999999966</v>
      </c>
      <c r="N1364" s="569">
        <f t="shared" si="445"/>
        <v>-246452.23000000091</v>
      </c>
      <c r="O1364" s="569">
        <f t="shared" si="445"/>
        <v>-379087.01999999955</v>
      </c>
      <c r="P1364" s="569">
        <f t="shared" si="445"/>
        <v>-1067606.8400000008</v>
      </c>
      <c r="Q1364" s="569">
        <f t="shared" si="445"/>
        <v>-3272184.3999999985</v>
      </c>
      <c r="R1364" s="566">
        <f t="shared" si="445"/>
        <v>-23599741.74000001</v>
      </c>
    </row>
    <row r="1365" spans="4:18" x14ac:dyDescent="0.2">
      <c r="D1365" s="563"/>
      <c r="E1365" s="564"/>
      <c r="F1365" s="569">
        <f>ROUND(B!D16*12.35,2)</f>
        <v>19611.8</v>
      </c>
      <c r="G1365" s="569">
        <f>ROUND(B!E16*12.35,2)</f>
        <v>20155.2</v>
      </c>
      <c r="H1365" s="569">
        <f>ROUND(B!F16*12.35,2)</f>
        <v>21896.55</v>
      </c>
      <c r="I1365" s="569">
        <f>ROUND(B!G16*12.35,2)</f>
        <v>28676.7</v>
      </c>
      <c r="J1365" s="569">
        <f>ROUND(B!H16*12.35,2)</f>
        <v>29961.1</v>
      </c>
      <c r="K1365" s="569">
        <f>ROUND(B!I16*12.35,2)</f>
        <v>27997.45</v>
      </c>
      <c r="L1365" s="569">
        <f>ROUND(B!J16*12.35,2)</f>
        <v>24798.799999999999</v>
      </c>
      <c r="M1365" s="569">
        <f>ROUND(B!K16*12.35,2)</f>
        <v>32665.75</v>
      </c>
      <c r="N1365" s="569">
        <f>ROUND(B!L16*12.35,2)</f>
        <v>25539.8</v>
      </c>
      <c r="O1365" s="569">
        <f>ROUND(B!M16*12.35,2)</f>
        <v>20933.25</v>
      </c>
      <c r="P1365" s="569">
        <f>ROUND(B!N16*12.35,2)</f>
        <v>19636.5</v>
      </c>
      <c r="Q1365" s="569">
        <f>ROUND(B!O16*12.35,2)</f>
        <v>19685.900000000001</v>
      </c>
      <c r="R1365" s="566">
        <f>SUM(F1365:Q1365)</f>
        <v>291558.80000000005</v>
      </c>
    </row>
    <row r="1366" spans="4:18" x14ac:dyDescent="0.2">
      <c r="D1366" s="563"/>
      <c r="E1366" s="564"/>
      <c r="F1366" s="569">
        <f>ROUND(B!D80*25.13,2)</f>
        <v>2286.83</v>
      </c>
      <c r="G1366" s="569">
        <f>ROUND(B!E80*25.13,2)</f>
        <v>1708.84</v>
      </c>
      <c r="H1366" s="569">
        <f>ROUND(B!F80*25.13,2)</f>
        <v>2136.0500000000002</v>
      </c>
      <c r="I1366" s="569">
        <f>ROUND(B!G80*25.13,2)</f>
        <v>3493.07</v>
      </c>
      <c r="J1366" s="569">
        <f>ROUND(B!H80*25.13,2)</f>
        <v>2688.91</v>
      </c>
      <c r="K1366" s="569">
        <f>ROUND(B!I80*25.13,2)</f>
        <v>2211.44</v>
      </c>
      <c r="L1366" s="569">
        <f>ROUND(B!J80*25.13,2)</f>
        <v>1884.75</v>
      </c>
      <c r="M1366" s="569">
        <f>ROUND(B!K80*25.13,2)</f>
        <v>2311.96</v>
      </c>
      <c r="N1366" s="569">
        <f>ROUND(B!L80*25.13,2)</f>
        <v>1784.23</v>
      </c>
      <c r="O1366" s="569">
        <f>ROUND(B!M80*25.13,2)</f>
        <v>1759.1</v>
      </c>
      <c r="P1366" s="569">
        <f>ROUND(B!N80*25.13,2)</f>
        <v>1633.45</v>
      </c>
      <c r="Q1366" s="569">
        <f>ROUND(B!O80*25.13,2)</f>
        <v>1457.54</v>
      </c>
      <c r="R1366" s="566">
        <f>SUM(F1366:Q1366)</f>
        <v>25356.17</v>
      </c>
    </row>
    <row r="1367" spans="4:18" x14ac:dyDescent="0.2">
      <c r="D1367" s="563"/>
      <c r="E1367" s="564"/>
      <c r="F1367" s="569"/>
      <c r="G1367" s="569"/>
      <c r="H1367" s="569"/>
      <c r="I1367" s="569"/>
      <c r="J1367" s="569"/>
      <c r="K1367" s="569"/>
      <c r="L1367" s="569"/>
      <c r="M1367" s="569"/>
      <c r="N1367" s="569"/>
      <c r="O1367" s="569"/>
      <c r="P1367" s="569"/>
      <c r="Q1367" s="569"/>
      <c r="R1367" s="566"/>
    </row>
    <row r="1368" spans="4:18" x14ac:dyDescent="0.2">
      <c r="D1368" s="563"/>
      <c r="E1368" s="564"/>
      <c r="F1368" s="569"/>
      <c r="G1368" s="569"/>
      <c r="H1368" s="569"/>
      <c r="I1368" s="569"/>
      <c r="J1368" s="569"/>
      <c r="K1368" s="569"/>
      <c r="L1368" s="569"/>
      <c r="M1368" s="569"/>
      <c r="N1368" s="569"/>
      <c r="O1368" s="569"/>
      <c r="P1368" s="569"/>
      <c r="Q1368" s="569"/>
      <c r="R1368" s="566"/>
    </row>
    <row r="1369" spans="4:18" x14ac:dyDescent="0.2">
      <c r="D1369" s="563"/>
      <c r="E1369" s="564"/>
      <c r="F1369" s="569">
        <f t="shared" ref="F1369:R1369" si="446">SUM(E1271:E1274)</f>
        <v>3207230.71</v>
      </c>
      <c r="G1369" s="569">
        <f t="shared" si="446"/>
        <v>3195336.67</v>
      </c>
      <c r="H1369" s="569">
        <f t="shared" si="446"/>
        <v>2380170.9400000004</v>
      </c>
      <c r="I1369" s="569">
        <f t="shared" si="446"/>
        <v>1629156.48</v>
      </c>
      <c r="J1369" s="569">
        <f t="shared" si="446"/>
        <v>1021350.52</v>
      </c>
      <c r="K1369" s="569">
        <f t="shared" si="446"/>
        <v>790013.04</v>
      </c>
      <c r="L1369" s="569">
        <f t="shared" si="446"/>
        <v>689953.80999999994</v>
      </c>
      <c r="M1369" s="569">
        <f t="shared" si="446"/>
        <v>672605.27</v>
      </c>
      <c r="N1369" s="569">
        <f t="shared" si="446"/>
        <v>667303.73</v>
      </c>
      <c r="O1369" s="569">
        <f t="shared" si="446"/>
        <v>776060.96</v>
      </c>
      <c r="P1369" s="569">
        <f t="shared" si="446"/>
        <v>1178126.67</v>
      </c>
      <c r="Q1369" s="569">
        <f t="shared" si="446"/>
        <v>2232455.0999999996</v>
      </c>
      <c r="R1369" s="566">
        <f t="shared" si="446"/>
        <v>18439763.900000002</v>
      </c>
    </row>
    <row r="1370" spans="4:18" ht="10.8" thickBot="1" x14ac:dyDescent="0.25">
      <c r="D1370" s="574"/>
      <c r="E1370" s="575"/>
      <c r="F1370" s="576">
        <f t="shared" ref="F1370:R1370" si="447">F1369-F1361</f>
        <v>505352.9299999997</v>
      </c>
      <c r="G1370" s="576">
        <f t="shared" si="447"/>
        <v>666498.16999999993</v>
      </c>
      <c r="H1370" s="576">
        <f t="shared" si="447"/>
        <v>190984.75000000047</v>
      </c>
      <c r="I1370" s="576">
        <f t="shared" si="447"/>
        <v>-57107.610000000102</v>
      </c>
      <c r="J1370" s="576">
        <f t="shared" si="447"/>
        <v>-283094.0299999998</v>
      </c>
      <c r="K1370" s="576">
        <f t="shared" si="447"/>
        <v>-341059.96999999974</v>
      </c>
      <c r="L1370" s="576">
        <f t="shared" si="447"/>
        <v>-396590.48999999987</v>
      </c>
      <c r="M1370" s="576">
        <f t="shared" si="447"/>
        <v>-433647.95999999996</v>
      </c>
      <c r="N1370" s="576">
        <f t="shared" si="447"/>
        <v>-472295.37000000011</v>
      </c>
      <c r="O1370" s="576">
        <f t="shared" si="447"/>
        <v>-494483.44999999995</v>
      </c>
      <c r="P1370" s="576">
        <f t="shared" si="447"/>
        <v>-398097.65000000014</v>
      </c>
      <c r="Q1370" s="576">
        <f t="shared" si="447"/>
        <v>66901.999999999534</v>
      </c>
      <c r="R1370" s="577">
        <f t="shared" si="447"/>
        <v>-1446638.679999996</v>
      </c>
    </row>
    <row r="1371" spans="4:18" x14ac:dyDescent="0.2">
      <c r="E1371" s="505"/>
      <c r="F1371" s="505"/>
      <c r="G1371" s="505"/>
      <c r="H1371" s="505"/>
      <c r="I1371" s="505"/>
      <c r="J1371" s="505"/>
      <c r="K1371" s="505"/>
      <c r="L1371" s="505"/>
      <c r="M1371" s="505"/>
      <c r="N1371" s="505"/>
      <c r="O1371" s="505"/>
      <c r="P1371" s="505"/>
      <c r="Q1371" s="505"/>
    </row>
    <row r="1372" spans="4:18" x14ac:dyDescent="0.2">
      <c r="E1372" s="505"/>
      <c r="F1372" s="505"/>
      <c r="G1372" s="505"/>
      <c r="H1372" s="505"/>
      <c r="I1372" s="505"/>
      <c r="J1372" s="505"/>
      <c r="K1372" s="505"/>
      <c r="L1372" s="505"/>
      <c r="M1372" s="505"/>
      <c r="N1372" s="505"/>
      <c r="O1372" s="505"/>
      <c r="P1372" s="505"/>
      <c r="Q1372" s="505"/>
    </row>
    <row r="1373" spans="4:18" x14ac:dyDescent="0.2">
      <c r="E1373" s="505"/>
      <c r="F1373" s="505"/>
      <c r="G1373" s="505"/>
      <c r="H1373" s="505"/>
      <c r="I1373" s="505"/>
      <c r="J1373" s="505"/>
      <c r="K1373" s="505"/>
      <c r="L1373" s="505"/>
      <c r="M1373" s="505"/>
      <c r="N1373" s="505"/>
      <c r="O1373" s="505"/>
      <c r="P1373" s="505"/>
      <c r="Q1373" s="505"/>
    </row>
    <row r="1374" spans="4:18" x14ac:dyDescent="0.2">
      <c r="E1374" s="505"/>
      <c r="F1374" s="505"/>
      <c r="G1374" s="505"/>
      <c r="H1374" s="505"/>
      <c r="I1374" s="505"/>
      <c r="J1374" s="505"/>
      <c r="K1374" s="505"/>
      <c r="L1374" s="505"/>
      <c r="M1374" s="505"/>
      <c r="N1374" s="505"/>
      <c r="O1374" s="505"/>
      <c r="P1374" s="505"/>
      <c r="Q1374" s="505"/>
    </row>
    <row r="1375" spans="4:18" x14ac:dyDescent="0.2">
      <c r="E1375" s="505"/>
      <c r="F1375" s="505"/>
      <c r="G1375" s="505"/>
      <c r="H1375" s="505"/>
      <c r="I1375" s="505"/>
      <c r="J1375" s="505"/>
      <c r="K1375" s="505"/>
      <c r="L1375" s="505"/>
      <c r="M1375" s="505"/>
      <c r="N1375" s="505"/>
      <c r="O1375" s="505"/>
      <c r="P1375" s="505"/>
      <c r="Q1375" s="505"/>
    </row>
  </sheetData>
  <mergeCells count="126">
    <mergeCell ref="A928:Q928"/>
    <mergeCell ref="A920:Q920"/>
    <mergeCell ref="A919:Q919"/>
    <mergeCell ref="A510:Q510"/>
    <mergeCell ref="A509:Q509"/>
    <mergeCell ref="A806:Q806"/>
    <mergeCell ref="A805:Q805"/>
    <mergeCell ref="A742:Q742"/>
    <mergeCell ref="A733:Q733"/>
    <mergeCell ref="A734:Q734"/>
    <mergeCell ref="A735:Q735"/>
    <mergeCell ref="A579:Q579"/>
    <mergeCell ref="A580:Q580"/>
    <mergeCell ref="A585:Q585"/>
    <mergeCell ref="A736:Q736"/>
    <mergeCell ref="A737:Q737"/>
    <mergeCell ref="A683:Q683"/>
    <mergeCell ref="A682:Q682"/>
    <mergeCell ref="A685:Q685"/>
    <mergeCell ref="A691:Q691"/>
    <mergeCell ref="A875:Q875"/>
    <mergeCell ref="A876:Q876"/>
    <mergeCell ref="A877:Q877"/>
    <mergeCell ref="A878:Q878"/>
    <mergeCell ref="A990:Q990"/>
    <mergeCell ref="A922:Q922"/>
    <mergeCell ref="A989:Q989"/>
    <mergeCell ref="A686:Q686"/>
    <mergeCell ref="A684:Q684"/>
    <mergeCell ref="A115:Q115"/>
    <mergeCell ref="A381:Q381"/>
    <mergeCell ref="A218:Q218"/>
    <mergeCell ref="A120:Q120"/>
    <mergeCell ref="A213:Q213"/>
    <mergeCell ref="A212:Q212"/>
    <mergeCell ref="A211:Q211"/>
    <mergeCell ref="A210:Q210"/>
    <mergeCell ref="A209:Q209"/>
    <mergeCell ref="A276:Q276"/>
    <mergeCell ref="A275:Q275"/>
    <mergeCell ref="A274:Q274"/>
    <mergeCell ref="A273:Q273"/>
    <mergeCell ref="A272:Q272"/>
    <mergeCell ref="A385:Q385"/>
    <mergeCell ref="A632:Q632"/>
    <mergeCell ref="A641:Q641"/>
    <mergeCell ref="A636:Q636"/>
    <mergeCell ref="A635:Q635"/>
    <mergeCell ref="A1067:Q1067"/>
    <mergeCell ref="A1066:Q1066"/>
    <mergeCell ref="A1065:Q1065"/>
    <mergeCell ref="A1064:Q1064"/>
    <mergeCell ref="A1063:Q1063"/>
    <mergeCell ref="A993:Q993"/>
    <mergeCell ref="A992:Q992"/>
    <mergeCell ref="A998:Q998"/>
    <mergeCell ref="A991:Q991"/>
    <mergeCell ref="A114:Q114"/>
    <mergeCell ref="A384:Q384"/>
    <mergeCell ref="A383:Q383"/>
    <mergeCell ref="A382:Q382"/>
    <mergeCell ref="A513:Q513"/>
    <mergeCell ref="A1200:Q1200"/>
    <mergeCell ref="A1195:Q1195"/>
    <mergeCell ref="A1194:Q1194"/>
    <mergeCell ref="A1193:Q1193"/>
    <mergeCell ref="A1192:Q1192"/>
    <mergeCell ref="A813:Q813"/>
    <mergeCell ref="A1142:Q1142"/>
    <mergeCell ref="A1135:Q1135"/>
    <mergeCell ref="A1134:Q1134"/>
    <mergeCell ref="A1133:Q1133"/>
    <mergeCell ref="A1137:Q1137"/>
    <mergeCell ref="A1136:Q1136"/>
    <mergeCell ref="A921:Q921"/>
    <mergeCell ref="A1072:Q1072"/>
    <mergeCell ref="A923:Q923"/>
    <mergeCell ref="A1191:Q1191"/>
    <mergeCell ref="A874:Q874"/>
    <mergeCell ref="A808:Q808"/>
    <mergeCell ref="A807:Q807"/>
    <mergeCell ref="A167:Q167"/>
    <mergeCell ref="A168:Q168"/>
    <mergeCell ref="A169:Q169"/>
    <mergeCell ref="A390:Q390"/>
    <mergeCell ref="A442:Q442"/>
    <mergeCell ref="A441:Q441"/>
    <mergeCell ref="A450:Q450"/>
    <mergeCell ref="A443:Q443"/>
    <mergeCell ref="A444:Q444"/>
    <mergeCell ref="A445:Q445"/>
    <mergeCell ref="A281:Q281"/>
    <mergeCell ref="A1:Q1"/>
    <mergeCell ref="A2:Q2"/>
    <mergeCell ref="A3:Q3"/>
    <mergeCell ref="A4:Q4"/>
    <mergeCell ref="A47:Q47"/>
    <mergeCell ref="A48:Q48"/>
    <mergeCell ref="A113:Q113"/>
    <mergeCell ref="A112:Q112"/>
    <mergeCell ref="A111:Q111"/>
    <mergeCell ref="A49:Q49"/>
    <mergeCell ref="A50:Q50"/>
    <mergeCell ref="A51:Q51"/>
    <mergeCell ref="A5:Q5"/>
    <mergeCell ref="A10:Q10"/>
    <mergeCell ref="A56:Q56"/>
    <mergeCell ref="A883:Q883"/>
    <mergeCell ref="A170:Q170"/>
    <mergeCell ref="A171:Q171"/>
    <mergeCell ref="A176:Q176"/>
    <mergeCell ref="A334:Q334"/>
    <mergeCell ref="A335:Q335"/>
    <mergeCell ref="A336:Q336"/>
    <mergeCell ref="A337:Q337"/>
    <mergeCell ref="A338:Q338"/>
    <mergeCell ref="A343:Q343"/>
    <mergeCell ref="A578:Q578"/>
    <mergeCell ref="A511:Q511"/>
    <mergeCell ref="A518:Q518"/>
    <mergeCell ref="A512:Q512"/>
    <mergeCell ref="A576:Q576"/>
    <mergeCell ref="A577:Q577"/>
    <mergeCell ref="A634:Q634"/>
    <mergeCell ref="A633:Q633"/>
    <mergeCell ref="A804:Q804"/>
  </mergeCells>
  <phoneticPr fontId="0" type="noConversion"/>
  <printOptions horizontalCentered="1"/>
  <pageMargins left="1" right="1" top="1" bottom="1" header="0.5" footer="0.5"/>
  <pageSetup scale="60" orientation="landscape" r:id="rId1"/>
  <headerFooter alignWithMargins="0">
    <oddHeader>&amp;RKY PSC Case No. 2016-0016
Attachment A to PSC 3-3(b)</oddHeader>
  </headerFooter>
  <rowBreaks count="20" manualBreakCount="20">
    <brk id="46" max="17" man="1"/>
    <brk id="110" max="16" man="1"/>
    <brk id="166" max="16" man="1"/>
    <brk id="208" max="16383" man="1"/>
    <brk id="271" max="16383" man="1"/>
    <brk id="333" max="16" man="1"/>
    <brk id="380" max="16383" man="1"/>
    <brk id="440" max="16383" man="1"/>
    <brk id="508" max="16383" man="1"/>
    <brk id="575" max="16383" man="1"/>
    <brk id="631" max="16383" man="1"/>
    <brk id="681" max="16383" man="1"/>
    <brk id="732" max="16383" man="1"/>
    <brk id="803" max="16383" man="1"/>
    <brk id="872" max="16" man="1"/>
    <brk id="917" max="16" man="1"/>
    <brk id="988" max="16383" man="1"/>
    <brk id="1061" max="17" man="1"/>
    <brk id="1132" max="16383" man="1"/>
    <brk id="11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R1342"/>
  <sheetViews>
    <sheetView topLeftCell="A361" zoomScaleNormal="100" zoomScaleSheetLayoutView="70" workbookViewId="0">
      <selection activeCell="H30" sqref="H30"/>
    </sheetView>
  </sheetViews>
  <sheetFormatPr defaultColWidth="10" defaultRowHeight="10.199999999999999" x14ac:dyDescent="0.2"/>
  <cols>
    <col min="1" max="1" width="6.1640625" style="259" customWidth="1"/>
    <col min="2" max="2" width="7.83203125" style="219" customWidth="1"/>
    <col min="3" max="3" width="40.83203125" style="219" customWidth="1"/>
    <col min="4" max="4" width="12.33203125" style="240" bestFit="1" customWidth="1"/>
    <col min="5" max="5" width="14.33203125" style="219" bestFit="1" customWidth="1"/>
    <col min="6" max="6" width="14.33203125" style="290" bestFit="1" customWidth="1"/>
    <col min="7" max="7" width="14.33203125" style="412" bestFit="1" customWidth="1"/>
    <col min="8" max="8" width="14.6640625" style="290" bestFit="1" customWidth="1"/>
    <col min="9" max="9" width="13.1640625" style="245" bestFit="1" customWidth="1"/>
    <col min="10" max="15" width="13.1640625" style="290" bestFit="1" customWidth="1"/>
    <col min="16" max="16" width="14.33203125" style="290" bestFit="1" customWidth="1"/>
    <col min="17" max="17" width="15.6640625" style="219" customWidth="1"/>
    <col min="18" max="16384" width="10" style="219"/>
  </cols>
  <sheetData>
    <row r="1" spans="1:17" x14ac:dyDescent="0.2">
      <c r="A1" s="993" t="str">
        <f>CONAME</f>
        <v>Columbia Gas of Kentucky, Inc.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</row>
    <row r="2" spans="1:17" x14ac:dyDescent="0.2">
      <c r="A2" s="981" t="str">
        <f>case</f>
        <v>Case No. 2016-00162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</row>
    <row r="3" spans="1:17" x14ac:dyDescent="0.2">
      <c r="A3" s="994" t="s">
        <v>200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</row>
    <row r="4" spans="1:17" x14ac:dyDescent="0.2">
      <c r="A4" s="993" t="str">
        <f>TYDESC</f>
        <v>For the 12 Months Ended December 31, 2017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</row>
    <row r="5" spans="1:17" x14ac:dyDescent="0.2">
      <c r="A5" s="991" t="s">
        <v>39</v>
      </c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</row>
    <row r="6" spans="1:17" x14ac:dyDescent="0.2">
      <c r="A6" s="711" t="str">
        <f>$A$52</f>
        <v>Data: __ Base Period _X_ Forecasted Period</v>
      </c>
    </row>
    <row r="7" spans="1:17" x14ac:dyDescent="0.2">
      <c r="A7" s="711" t="str">
        <f>$A$53</f>
        <v>Type of Filing: X Original _ Update _ Revised</v>
      </c>
      <c r="Q7" s="413" t="str">
        <f>$Q$53</f>
        <v>Schedule M-2.3</v>
      </c>
    </row>
    <row r="8" spans="1:17" x14ac:dyDescent="0.2">
      <c r="A8" s="711" t="str">
        <f>$A$54</f>
        <v>Work Paper Reference No(s):</v>
      </c>
      <c r="Q8" s="413" t="s">
        <v>496</v>
      </c>
    </row>
    <row r="9" spans="1:17" x14ac:dyDescent="0.2">
      <c r="A9" s="712" t="str">
        <f>$A$55</f>
        <v>12 Months Forecasted</v>
      </c>
      <c r="Q9" s="413" t="str">
        <f>Witness</f>
        <v>Witness:  M. J. Bell</v>
      </c>
    </row>
    <row r="10" spans="1:17" x14ac:dyDescent="0.2">
      <c r="A10" s="992" t="s">
        <v>293</v>
      </c>
      <c r="B10" s="992"/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</row>
    <row r="11" spans="1:17" x14ac:dyDescent="0.2">
      <c r="B11" s="222"/>
      <c r="C11" s="222"/>
      <c r="D11" s="416"/>
      <c r="P11" s="415"/>
      <c r="Q11" s="415"/>
    </row>
    <row r="12" spans="1:17" x14ac:dyDescent="0.2">
      <c r="A12" s="410" t="s">
        <v>1</v>
      </c>
      <c r="B12" s="224" t="s">
        <v>224</v>
      </c>
      <c r="C12" s="224" t="s">
        <v>41</v>
      </c>
      <c r="D12" s="416" t="s">
        <v>30</v>
      </c>
      <c r="E12" s="417"/>
      <c r="F12" s="418"/>
      <c r="G12" s="417"/>
      <c r="H12" s="419"/>
      <c r="I12" s="417"/>
      <c r="J12" s="417"/>
      <c r="K12" s="417"/>
      <c r="L12" s="417"/>
      <c r="M12" s="417"/>
      <c r="N12" s="417"/>
      <c r="O12" s="229"/>
      <c r="P12" s="229"/>
      <c r="Q12" s="229"/>
    </row>
    <row r="13" spans="1:17" x14ac:dyDescent="0.2">
      <c r="A13" s="281" t="s">
        <v>3</v>
      </c>
      <c r="B13" s="226" t="s">
        <v>225</v>
      </c>
      <c r="C13" s="226" t="s">
        <v>4</v>
      </c>
      <c r="D13" s="420" t="s">
        <v>48</v>
      </c>
      <c r="E13" s="421" t="str">
        <f>B!$D$11</f>
        <v>Jan-17</v>
      </c>
      <c r="F13" s="421" t="str">
        <f>B!$E$11</f>
        <v>Feb-17</v>
      </c>
      <c r="G13" s="421" t="str">
        <f>B!$F$11</f>
        <v>Mar-17</v>
      </c>
      <c r="H13" s="421" t="str">
        <f>B!$G$11</f>
        <v>Apr-17</v>
      </c>
      <c r="I13" s="421" t="str">
        <f>B!$H$11</f>
        <v>May-17</v>
      </c>
      <c r="J13" s="421" t="str">
        <f>B!$I$11</f>
        <v>Jun-17</v>
      </c>
      <c r="K13" s="421" t="str">
        <f>B!$J$11</f>
        <v>Jul-17</v>
      </c>
      <c r="L13" s="421" t="str">
        <f>B!$K$11</f>
        <v>Aug-17</v>
      </c>
      <c r="M13" s="421" t="str">
        <f>B!$L$11</f>
        <v>Sep-17</v>
      </c>
      <c r="N13" s="421" t="str">
        <f>B!$M$11</f>
        <v>Oct-17</v>
      </c>
      <c r="O13" s="421" t="str">
        <f>B!$N$11</f>
        <v>Nov-17</v>
      </c>
      <c r="P13" s="421" t="str">
        <f>B!$O$11</f>
        <v>Dec-17</v>
      </c>
      <c r="Q13" s="422" t="s">
        <v>9</v>
      </c>
    </row>
    <row r="14" spans="1:17" x14ac:dyDescent="0.2">
      <c r="A14" s="410"/>
      <c r="B14" s="229" t="s">
        <v>42</v>
      </c>
      <c r="C14" s="229" t="s">
        <v>43</v>
      </c>
      <c r="D14" s="423" t="s">
        <v>45</v>
      </c>
      <c r="E14" s="424" t="s">
        <v>46</v>
      </c>
      <c r="F14" s="424" t="s">
        <v>49</v>
      </c>
      <c r="G14" s="424" t="s">
        <v>50</v>
      </c>
      <c r="H14" s="424" t="s">
        <v>51</v>
      </c>
      <c r="I14" s="424" t="s">
        <v>52</v>
      </c>
      <c r="J14" s="425" t="s">
        <v>53</v>
      </c>
      <c r="K14" s="425" t="s">
        <v>54</v>
      </c>
      <c r="L14" s="425" t="s">
        <v>55</v>
      </c>
      <c r="M14" s="425" t="s">
        <v>56</v>
      </c>
      <c r="N14" s="425" t="s">
        <v>57</v>
      </c>
      <c r="O14" s="425" t="s">
        <v>58</v>
      </c>
      <c r="P14" s="425" t="s">
        <v>59</v>
      </c>
      <c r="Q14" s="425" t="s">
        <v>203</v>
      </c>
    </row>
    <row r="15" spans="1:17" x14ac:dyDescent="0.2">
      <c r="B15" s="222"/>
      <c r="C15" s="222"/>
      <c r="P15" s="422"/>
      <c r="Q15" s="422"/>
    </row>
    <row r="16" spans="1:17" x14ac:dyDescent="0.2">
      <c r="A16" s="259">
        <v>1</v>
      </c>
      <c r="B16" s="222"/>
      <c r="C16" s="426" t="s">
        <v>226</v>
      </c>
      <c r="P16" s="425"/>
      <c r="Q16" s="425"/>
    </row>
    <row r="17" spans="1:17" x14ac:dyDescent="0.2">
      <c r="B17" s="222"/>
      <c r="C17" s="426"/>
      <c r="P17" s="415"/>
      <c r="Q17" s="415"/>
    </row>
    <row r="18" spans="1:17" x14ac:dyDescent="0.2">
      <c r="A18" s="259">
        <f>A16+1</f>
        <v>2</v>
      </c>
      <c r="B18" s="222"/>
      <c r="C18" s="426" t="s">
        <v>227</v>
      </c>
    </row>
    <row r="19" spans="1:17" x14ac:dyDescent="0.2">
      <c r="A19" s="259">
        <f>A18+1</f>
        <v>3</v>
      </c>
      <c r="B19" s="259">
        <v>480</v>
      </c>
      <c r="C19" s="222" t="s">
        <v>229</v>
      </c>
      <c r="E19" s="427">
        <f t="shared" ref="E19:P19" si="0">E69+E83+E90+E97+E104+E131+E145+E152</f>
        <v>9501640.3300000019</v>
      </c>
      <c r="F19" s="427">
        <f t="shared" si="0"/>
        <v>9264126.4700000007</v>
      </c>
      <c r="G19" s="427">
        <f t="shared" si="0"/>
        <v>7364679.6599999983</v>
      </c>
      <c r="H19" s="427">
        <f t="shared" si="0"/>
        <v>4915467.42</v>
      </c>
      <c r="I19" s="427">
        <f t="shared" si="0"/>
        <v>3183162.4899999993</v>
      </c>
      <c r="J19" s="427">
        <f t="shared" si="0"/>
        <v>2367187.59</v>
      </c>
      <c r="K19" s="427">
        <f t="shared" si="0"/>
        <v>2146913.0900000003</v>
      </c>
      <c r="L19" s="427">
        <f t="shared" si="0"/>
        <v>2135635.5900000003</v>
      </c>
      <c r="M19" s="427">
        <f t="shared" si="0"/>
        <v>2142555.5900000008</v>
      </c>
      <c r="N19" s="427">
        <f t="shared" si="0"/>
        <v>2453619.6499999994</v>
      </c>
      <c r="O19" s="427">
        <f t="shared" si="0"/>
        <v>4041980.8400000008</v>
      </c>
      <c r="P19" s="427">
        <f t="shared" si="0"/>
        <v>6988839.4200000009</v>
      </c>
      <c r="Q19" s="427">
        <f>SUM(E19:P19)</f>
        <v>56505808.140000023</v>
      </c>
    </row>
    <row r="20" spans="1:17" x14ac:dyDescent="0.2">
      <c r="A20" s="259">
        <f>A19+1</f>
        <v>4</v>
      </c>
      <c r="B20" s="259">
        <v>481.1</v>
      </c>
      <c r="C20" s="222" t="s">
        <v>230</v>
      </c>
      <c r="E20" s="429">
        <f>E76+E138+E159</f>
        <v>3649346.2</v>
      </c>
      <c r="F20" s="429">
        <f t="shared" ref="F20:P20" si="1">F76+F138+F159</f>
        <v>3636388.24</v>
      </c>
      <c r="G20" s="429">
        <f t="shared" si="1"/>
        <v>2692275.7</v>
      </c>
      <c r="H20" s="429">
        <f t="shared" si="1"/>
        <v>1817548.83</v>
      </c>
      <c r="I20" s="429">
        <f t="shared" si="1"/>
        <v>1109287.3499999999</v>
      </c>
      <c r="J20" s="429">
        <f t="shared" si="1"/>
        <v>840208.6100000001</v>
      </c>
      <c r="K20" s="429">
        <f t="shared" si="1"/>
        <v>723542.29999999981</v>
      </c>
      <c r="L20" s="429">
        <f t="shared" si="1"/>
        <v>703418.09000000008</v>
      </c>
      <c r="M20" s="429">
        <f t="shared" si="1"/>
        <v>697548.09</v>
      </c>
      <c r="N20" s="429">
        <f t="shared" si="1"/>
        <v>824257.02999999991</v>
      </c>
      <c r="O20" s="429">
        <f t="shared" si="1"/>
        <v>1292186.1499999997</v>
      </c>
      <c r="P20" s="429">
        <f t="shared" si="1"/>
        <v>2518172.3299999996</v>
      </c>
      <c r="Q20" s="240">
        <f>SUM(E20:P20)</f>
        <v>20504178.919999998</v>
      </c>
    </row>
    <row r="21" spans="1:17" x14ac:dyDescent="0.2">
      <c r="A21" s="259">
        <f>A20+1</f>
        <v>5</v>
      </c>
      <c r="B21" s="430">
        <v>481.2</v>
      </c>
      <c r="C21" s="222" t="s">
        <v>231</v>
      </c>
      <c r="E21" s="240">
        <f t="shared" ref="E21:P21" si="2">E186+E193</f>
        <v>147631.26</v>
      </c>
      <c r="F21" s="240">
        <f t="shared" si="2"/>
        <v>142998.37</v>
      </c>
      <c r="G21" s="240">
        <f t="shared" si="2"/>
        <v>138402.81999999998</v>
      </c>
      <c r="H21" s="240">
        <f t="shared" si="2"/>
        <v>133417.09999999998</v>
      </c>
      <c r="I21" s="240">
        <f t="shared" si="2"/>
        <v>128287.56999999999</v>
      </c>
      <c r="J21" s="240">
        <f t="shared" si="2"/>
        <v>123398.93000000001</v>
      </c>
      <c r="K21" s="240">
        <f t="shared" si="2"/>
        <v>123397.67000000001</v>
      </c>
      <c r="L21" s="240">
        <f t="shared" si="2"/>
        <v>128024.31</v>
      </c>
      <c r="M21" s="240">
        <f t="shared" si="2"/>
        <v>127972.95999999999</v>
      </c>
      <c r="N21" s="240">
        <f t="shared" si="2"/>
        <v>137285.26</v>
      </c>
      <c r="O21" s="240">
        <f t="shared" si="2"/>
        <v>137875.73000000001</v>
      </c>
      <c r="P21" s="240">
        <f t="shared" si="2"/>
        <v>138602.26</v>
      </c>
      <c r="Q21" s="240">
        <f>SUM(E21:P21)</f>
        <v>1607294.24</v>
      </c>
    </row>
    <row r="22" spans="1:17" x14ac:dyDescent="0.2">
      <c r="A22" s="259">
        <f>A25+1</f>
        <v>8</v>
      </c>
      <c r="B22" s="259">
        <v>483</v>
      </c>
      <c r="C22" s="222" t="s">
        <v>233</v>
      </c>
      <c r="E22" s="431">
        <f t="shared" ref="E22:P22" si="3">E200</f>
        <v>11795.18</v>
      </c>
      <c r="F22" s="431">
        <f t="shared" si="3"/>
        <v>8976.06</v>
      </c>
      <c r="G22" s="431">
        <f t="shared" si="3"/>
        <v>4868.5000000000009</v>
      </c>
      <c r="H22" s="431">
        <f t="shared" si="3"/>
        <v>3315.68</v>
      </c>
      <c r="I22" s="431">
        <f t="shared" si="3"/>
        <v>2368.15</v>
      </c>
      <c r="J22" s="431">
        <f t="shared" si="3"/>
        <v>1887.25</v>
      </c>
      <c r="K22" s="431">
        <f t="shared" si="3"/>
        <v>1967.4599999999998</v>
      </c>
      <c r="L22" s="431">
        <f t="shared" si="3"/>
        <v>1801.9499999999998</v>
      </c>
      <c r="M22" s="431">
        <f t="shared" si="3"/>
        <v>1802.9599999999998</v>
      </c>
      <c r="N22" s="431">
        <f t="shared" si="3"/>
        <v>3531.5</v>
      </c>
      <c r="O22" s="431">
        <f t="shared" si="3"/>
        <v>4582</v>
      </c>
      <c r="P22" s="431">
        <f t="shared" si="3"/>
        <v>5195.4399999999996</v>
      </c>
      <c r="Q22" s="431">
        <f>SUM(E22:P22)</f>
        <v>52092.13</v>
      </c>
    </row>
    <row r="23" spans="1:17" x14ac:dyDescent="0.2">
      <c r="A23" s="259">
        <f>A21+1</f>
        <v>6</v>
      </c>
      <c r="B23" s="430"/>
      <c r="C23" s="222" t="s">
        <v>232</v>
      </c>
      <c r="E23" s="427">
        <f t="shared" ref="E23:P23" si="4">SUM(E19:E22)</f>
        <v>13310412.970000001</v>
      </c>
      <c r="F23" s="427">
        <f t="shared" si="4"/>
        <v>13052489.140000001</v>
      </c>
      <c r="G23" s="427">
        <f t="shared" si="4"/>
        <v>10200226.68</v>
      </c>
      <c r="H23" s="427">
        <f t="shared" si="4"/>
        <v>6869749.0299999993</v>
      </c>
      <c r="I23" s="427">
        <f t="shared" si="4"/>
        <v>4423105.5599999996</v>
      </c>
      <c r="J23" s="427">
        <f t="shared" si="4"/>
        <v>3332682.3800000004</v>
      </c>
      <c r="K23" s="427">
        <f t="shared" si="4"/>
        <v>2995820.52</v>
      </c>
      <c r="L23" s="427">
        <f t="shared" si="4"/>
        <v>2968879.9400000009</v>
      </c>
      <c r="M23" s="427">
        <f t="shared" si="4"/>
        <v>2969879.6000000006</v>
      </c>
      <c r="N23" s="427">
        <f t="shared" si="4"/>
        <v>3418693.4399999995</v>
      </c>
      <c r="O23" s="427">
        <f t="shared" si="4"/>
        <v>5476624.7200000007</v>
      </c>
      <c r="P23" s="427">
        <f t="shared" si="4"/>
        <v>9650809.4499999993</v>
      </c>
      <c r="Q23" s="427">
        <f>SUM(E23:P23)</f>
        <v>78669373.430000007</v>
      </c>
    </row>
    <row r="24" spans="1:17" x14ac:dyDescent="0.2">
      <c r="B24" s="430"/>
      <c r="C24" s="222"/>
    </row>
    <row r="25" spans="1:17" x14ac:dyDescent="0.2">
      <c r="A25" s="259">
        <f>A23+1</f>
        <v>7</v>
      </c>
      <c r="B25" s="430"/>
      <c r="C25" s="426" t="s">
        <v>284</v>
      </c>
    </row>
    <row r="26" spans="1:17" x14ac:dyDescent="0.2">
      <c r="A26" s="259">
        <f>A22+1</f>
        <v>9</v>
      </c>
      <c r="B26" s="259">
        <v>489</v>
      </c>
      <c r="C26" s="222" t="s">
        <v>234</v>
      </c>
      <c r="E26" s="427">
        <f t="shared" ref="E26:P26" si="5">E227</f>
        <v>1725360.4000000001</v>
      </c>
      <c r="F26" s="427">
        <f t="shared" si="5"/>
        <v>1686268.85</v>
      </c>
      <c r="G26" s="427">
        <f t="shared" si="5"/>
        <v>1364874.34</v>
      </c>
      <c r="H26" s="427">
        <f t="shared" si="5"/>
        <v>946965.26</v>
      </c>
      <c r="I26" s="427">
        <f t="shared" si="5"/>
        <v>653404.67999999993</v>
      </c>
      <c r="J26" s="427">
        <f t="shared" si="5"/>
        <v>514493.94</v>
      </c>
      <c r="K26" s="427">
        <f t="shared" si="5"/>
        <v>475499.82</v>
      </c>
      <c r="L26" s="427">
        <f t="shared" si="5"/>
        <v>471597.06999999995</v>
      </c>
      <c r="M26" s="427">
        <f t="shared" si="5"/>
        <v>478167.51</v>
      </c>
      <c r="N26" s="427">
        <f t="shared" si="5"/>
        <v>529451.31999999995</v>
      </c>
      <c r="O26" s="427">
        <f t="shared" si="5"/>
        <v>796930.41999999993</v>
      </c>
      <c r="P26" s="427">
        <f t="shared" si="5"/>
        <v>1297311.93</v>
      </c>
      <c r="Q26" s="427">
        <f>SUM(E26:P26)</f>
        <v>10940325.539999999</v>
      </c>
    </row>
    <row r="27" spans="1:17" x14ac:dyDescent="0.2">
      <c r="A27" s="259">
        <f t="shared" ref="A27:A34" si="6">A26+1</f>
        <v>10</v>
      </c>
      <c r="B27" s="259">
        <v>489</v>
      </c>
      <c r="C27" s="222" t="s">
        <v>235</v>
      </c>
      <c r="E27" s="240">
        <f t="shared" ref="E27:P27" si="7">E234+E248+E262+E304+E352</f>
        <v>1282388.2400000002</v>
      </c>
      <c r="F27" s="240">
        <f t="shared" si="7"/>
        <v>1222914.23</v>
      </c>
      <c r="G27" s="240">
        <f t="shared" si="7"/>
        <v>1039159.03</v>
      </c>
      <c r="H27" s="240">
        <f t="shared" si="7"/>
        <v>776271.77</v>
      </c>
      <c r="I27" s="240">
        <f t="shared" si="7"/>
        <v>604357.57000000007</v>
      </c>
      <c r="J27" s="240">
        <f t="shared" si="7"/>
        <v>522156.11</v>
      </c>
      <c r="K27" s="240">
        <f t="shared" si="7"/>
        <v>506476.05000000005</v>
      </c>
      <c r="L27" s="240">
        <f t="shared" si="7"/>
        <v>494317.21</v>
      </c>
      <c r="M27" s="240">
        <f t="shared" si="7"/>
        <v>513020.9</v>
      </c>
      <c r="N27" s="240">
        <f t="shared" si="7"/>
        <v>592822.07999999996</v>
      </c>
      <c r="O27" s="240">
        <f t="shared" si="7"/>
        <v>759349.2</v>
      </c>
      <c r="P27" s="240">
        <f t="shared" si="7"/>
        <v>1073727.3799999999</v>
      </c>
      <c r="Q27" s="240">
        <f t="shared" ref="Q27:Q33" si="8">SUM(E27:P27)</f>
        <v>9386959.7699999996</v>
      </c>
    </row>
    <row r="28" spans="1:17" x14ac:dyDescent="0.2">
      <c r="A28" s="259">
        <f t="shared" si="6"/>
        <v>11</v>
      </c>
      <c r="B28" s="259">
        <v>489</v>
      </c>
      <c r="C28" s="222" t="s">
        <v>236</v>
      </c>
      <c r="E28" s="240">
        <f t="shared" ref="E28:P28" si="9">E241+E255+E290+E297+E311+E318+E325+E359</f>
        <v>597529.86999999988</v>
      </c>
      <c r="F28" s="240">
        <f t="shared" si="9"/>
        <v>558332.17999999993</v>
      </c>
      <c r="G28" s="240">
        <f t="shared" si="9"/>
        <v>519717.06999999995</v>
      </c>
      <c r="H28" s="240">
        <f t="shared" si="9"/>
        <v>471893.85000000003</v>
      </c>
      <c r="I28" s="240">
        <f t="shared" si="9"/>
        <v>437596.87</v>
      </c>
      <c r="J28" s="240">
        <f t="shared" si="9"/>
        <v>412815.17999999993</v>
      </c>
      <c r="K28" s="240">
        <f t="shared" si="9"/>
        <v>389347.43000000005</v>
      </c>
      <c r="L28" s="240">
        <f t="shared" si="9"/>
        <v>414928.44</v>
      </c>
      <c r="M28" s="240">
        <f t="shared" si="9"/>
        <v>434553.74000000005</v>
      </c>
      <c r="N28" s="240">
        <f t="shared" si="9"/>
        <v>486100.94</v>
      </c>
      <c r="O28" s="240">
        <f t="shared" si="9"/>
        <v>532133.93999999994</v>
      </c>
      <c r="P28" s="240">
        <f t="shared" si="9"/>
        <v>736438.32000000007</v>
      </c>
      <c r="Q28" s="240">
        <f t="shared" si="8"/>
        <v>5991387.8300000001</v>
      </c>
    </row>
    <row r="29" spans="1:17" x14ac:dyDescent="0.2">
      <c r="A29" s="259">
        <f t="shared" si="6"/>
        <v>12</v>
      </c>
      <c r="B29" s="259">
        <v>487</v>
      </c>
      <c r="C29" s="222" t="s">
        <v>237</v>
      </c>
      <c r="E29" s="240">
        <f t="shared" ref="E29:P29" si="10">E365</f>
        <v>61811</v>
      </c>
      <c r="F29" s="240">
        <f t="shared" si="10"/>
        <v>84811</v>
      </c>
      <c r="G29" s="240">
        <f t="shared" si="10"/>
        <v>83811</v>
      </c>
      <c r="H29" s="240">
        <f t="shared" si="10"/>
        <v>79811</v>
      </c>
      <c r="I29" s="240">
        <f t="shared" si="10"/>
        <v>45811</v>
      </c>
      <c r="J29" s="240">
        <f t="shared" si="10"/>
        <v>30811</v>
      </c>
      <c r="K29" s="240">
        <f t="shared" si="10"/>
        <v>25811</v>
      </c>
      <c r="L29" s="240">
        <f t="shared" si="10"/>
        <v>24811</v>
      </c>
      <c r="M29" s="240">
        <f t="shared" si="10"/>
        <v>27811</v>
      </c>
      <c r="N29" s="240">
        <f t="shared" si="10"/>
        <v>16811</v>
      </c>
      <c r="O29" s="240">
        <f t="shared" si="10"/>
        <v>23811</v>
      </c>
      <c r="P29" s="240">
        <f t="shared" si="10"/>
        <v>39811</v>
      </c>
      <c r="Q29" s="240">
        <f t="shared" si="8"/>
        <v>545732</v>
      </c>
    </row>
    <row r="30" spans="1:17" x14ac:dyDescent="0.2">
      <c r="A30" s="259">
        <f t="shared" si="6"/>
        <v>13</v>
      </c>
      <c r="B30" s="259">
        <v>488</v>
      </c>
      <c r="C30" s="222" t="s">
        <v>238</v>
      </c>
      <c r="E30" s="240">
        <f t="shared" ref="E30:P30" si="11">E366</f>
        <v>8000</v>
      </c>
      <c r="F30" s="240">
        <f t="shared" si="11"/>
        <v>9000</v>
      </c>
      <c r="G30" s="240">
        <f t="shared" si="11"/>
        <v>11000</v>
      </c>
      <c r="H30" s="240">
        <f t="shared" si="11"/>
        <v>13000</v>
      </c>
      <c r="I30" s="240">
        <f t="shared" si="11"/>
        <v>10000</v>
      </c>
      <c r="J30" s="240">
        <f t="shared" si="11"/>
        <v>11000</v>
      </c>
      <c r="K30" s="240">
        <f t="shared" si="11"/>
        <v>9000</v>
      </c>
      <c r="L30" s="240">
        <f t="shared" si="11"/>
        <v>8000</v>
      </c>
      <c r="M30" s="240">
        <f t="shared" si="11"/>
        <v>9000</v>
      </c>
      <c r="N30" s="240">
        <f t="shared" si="11"/>
        <v>19000</v>
      </c>
      <c r="O30" s="240">
        <f t="shared" si="11"/>
        <v>20000</v>
      </c>
      <c r="P30" s="240">
        <f t="shared" si="11"/>
        <v>10000</v>
      </c>
      <c r="Q30" s="240">
        <f t="shared" si="8"/>
        <v>137000</v>
      </c>
    </row>
    <row r="31" spans="1:17" x14ac:dyDescent="0.2">
      <c r="A31" s="259">
        <f t="shared" si="6"/>
        <v>14</v>
      </c>
      <c r="B31" s="259">
        <v>493</v>
      </c>
      <c r="C31" s="219" t="s">
        <v>315</v>
      </c>
      <c r="E31" s="240">
        <f t="shared" ref="E31:P31" si="12">E367</f>
        <v>6000</v>
      </c>
      <c r="F31" s="240">
        <f t="shared" si="12"/>
        <v>6000</v>
      </c>
      <c r="G31" s="240">
        <f t="shared" si="12"/>
        <v>6000</v>
      </c>
      <c r="H31" s="240">
        <f t="shared" si="12"/>
        <v>6000</v>
      </c>
      <c r="I31" s="240">
        <f t="shared" si="12"/>
        <v>6000</v>
      </c>
      <c r="J31" s="240">
        <f t="shared" si="12"/>
        <v>6000</v>
      </c>
      <c r="K31" s="240">
        <f t="shared" si="12"/>
        <v>6000</v>
      </c>
      <c r="L31" s="240">
        <f t="shared" si="12"/>
        <v>6000</v>
      </c>
      <c r="M31" s="240">
        <f t="shared" si="12"/>
        <v>6000</v>
      </c>
      <c r="N31" s="240">
        <f t="shared" si="12"/>
        <v>6000</v>
      </c>
      <c r="O31" s="240">
        <f t="shared" si="12"/>
        <v>6000</v>
      </c>
      <c r="P31" s="240">
        <f t="shared" si="12"/>
        <v>6000</v>
      </c>
      <c r="Q31" s="240">
        <f t="shared" si="8"/>
        <v>72000</v>
      </c>
    </row>
    <row r="32" spans="1:17" x14ac:dyDescent="0.2">
      <c r="A32" s="259">
        <f t="shared" si="6"/>
        <v>15</v>
      </c>
      <c r="B32" s="259">
        <v>495</v>
      </c>
      <c r="C32" s="222" t="s">
        <v>239</v>
      </c>
      <c r="E32" s="240">
        <f t="shared" ref="E32:P32" si="13">E368</f>
        <v>0</v>
      </c>
      <c r="F32" s="240">
        <f t="shared" si="13"/>
        <v>0</v>
      </c>
      <c r="G32" s="240">
        <f t="shared" si="13"/>
        <v>0</v>
      </c>
      <c r="H32" s="240">
        <f t="shared" si="13"/>
        <v>0</v>
      </c>
      <c r="I32" s="240">
        <f t="shared" si="13"/>
        <v>0</v>
      </c>
      <c r="J32" s="240">
        <f t="shared" si="13"/>
        <v>0</v>
      </c>
      <c r="K32" s="240">
        <f t="shared" si="13"/>
        <v>0</v>
      </c>
      <c r="L32" s="240">
        <f t="shared" si="13"/>
        <v>0</v>
      </c>
      <c r="M32" s="240">
        <f t="shared" si="13"/>
        <v>0</v>
      </c>
      <c r="N32" s="240">
        <f t="shared" si="13"/>
        <v>0</v>
      </c>
      <c r="O32" s="240">
        <f t="shared" si="13"/>
        <v>0</v>
      </c>
      <c r="P32" s="240">
        <f t="shared" si="13"/>
        <v>0</v>
      </c>
      <c r="Q32" s="240">
        <f t="shared" si="8"/>
        <v>0</v>
      </c>
    </row>
    <row r="33" spans="1:17" x14ac:dyDescent="0.2">
      <c r="A33" s="259">
        <f t="shared" si="6"/>
        <v>16</v>
      </c>
      <c r="B33" s="259">
        <v>495</v>
      </c>
      <c r="C33" s="222" t="s">
        <v>240</v>
      </c>
      <c r="E33" s="431">
        <f t="shared" ref="E33:P33" si="14">E369</f>
        <v>66000</v>
      </c>
      <c r="F33" s="431">
        <f t="shared" si="14"/>
        <v>58000</v>
      </c>
      <c r="G33" s="431">
        <f t="shared" si="14"/>
        <v>61000</v>
      </c>
      <c r="H33" s="431">
        <f t="shared" si="14"/>
        <v>85000</v>
      </c>
      <c r="I33" s="431">
        <f t="shared" si="14"/>
        <v>24000</v>
      </c>
      <c r="J33" s="431">
        <f t="shared" si="14"/>
        <v>19000</v>
      </c>
      <c r="K33" s="431">
        <f t="shared" si="14"/>
        <v>16000</v>
      </c>
      <c r="L33" s="431">
        <f t="shared" si="14"/>
        <v>15000</v>
      </c>
      <c r="M33" s="431">
        <f t="shared" si="14"/>
        <v>16000</v>
      </c>
      <c r="N33" s="431">
        <f t="shared" si="14"/>
        <v>18000</v>
      </c>
      <c r="O33" s="431">
        <f t="shared" si="14"/>
        <v>25000</v>
      </c>
      <c r="P33" s="431">
        <f t="shared" si="14"/>
        <v>112000</v>
      </c>
      <c r="Q33" s="431">
        <f t="shared" si="8"/>
        <v>515000</v>
      </c>
    </row>
    <row r="34" spans="1:17" x14ac:dyDescent="0.2">
      <c r="A34" s="259">
        <f t="shared" si="6"/>
        <v>17</v>
      </c>
      <c r="B34" s="222"/>
      <c r="C34" s="222" t="s">
        <v>285</v>
      </c>
      <c r="E34" s="427">
        <f t="shared" ref="E34:Q34" si="15">SUM(E26:E33)</f>
        <v>3747089.5100000007</v>
      </c>
      <c r="F34" s="427">
        <f t="shared" si="15"/>
        <v>3625326.26</v>
      </c>
      <c r="G34" s="427">
        <f t="shared" si="15"/>
        <v>3085561.44</v>
      </c>
      <c r="H34" s="427">
        <f t="shared" si="15"/>
        <v>2378941.88</v>
      </c>
      <c r="I34" s="427">
        <f t="shared" si="15"/>
        <v>1781170.12</v>
      </c>
      <c r="J34" s="427">
        <f t="shared" si="15"/>
        <v>1516276.23</v>
      </c>
      <c r="K34" s="427">
        <f t="shared" si="15"/>
        <v>1428134.3000000003</v>
      </c>
      <c r="L34" s="427">
        <f t="shared" si="15"/>
        <v>1434653.72</v>
      </c>
      <c r="M34" s="427">
        <f t="shared" si="15"/>
        <v>1484553.1500000001</v>
      </c>
      <c r="N34" s="427">
        <f t="shared" si="15"/>
        <v>1668185.3399999999</v>
      </c>
      <c r="O34" s="427">
        <f t="shared" si="15"/>
        <v>2163224.5599999996</v>
      </c>
      <c r="P34" s="427">
        <f t="shared" si="15"/>
        <v>3275288.63</v>
      </c>
      <c r="Q34" s="427">
        <f t="shared" si="15"/>
        <v>27588405.140000001</v>
      </c>
    </row>
    <row r="35" spans="1:17" x14ac:dyDescent="0.2">
      <c r="B35" s="222"/>
      <c r="C35" s="222"/>
    </row>
    <row r="36" spans="1:17" x14ac:dyDescent="0.2">
      <c r="A36" s="259">
        <f>A34+1</f>
        <v>18</v>
      </c>
      <c r="B36" s="222"/>
      <c r="C36" s="222" t="s">
        <v>228</v>
      </c>
      <c r="E36" s="427">
        <f t="shared" ref="E36:P36" si="16">E23+E34</f>
        <v>17057502.48</v>
      </c>
      <c r="F36" s="427">
        <f t="shared" si="16"/>
        <v>16677815.4</v>
      </c>
      <c r="G36" s="427">
        <f t="shared" si="16"/>
        <v>13285788.119999999</v>
      </c>
      <c r="H36" s="427">
        <f t="shared" si="16"/>
        <v>9248690.9100000001</v>
      </c>
      <c r="I36" s="427">
        <f t="shared" si="16"/>
        <v>6204275.6799999997</v>
      </c>
      <c r="J36" s="427">
        <f t="shared" si="16"/>
        <v>4848958.6100000003</v>
      </c>
      <c r="K36" s="427">
        <f t="shared" si="16"/>
        <v>4423954.82</v>
      </c>
      <c r="L36" s="427">
        <f t="shared" si="16"/>
        <v>4403533.6600000011</v>
      </c>
      <c r="M36" s="427">
        <f t="shared" si="16"/>
        <v>4454432.7500000009</v>
      </c>
      <c r="N36" s="427">
        <f t="shared" si="16"/>
        <v>5086878.7799999993</v>
      </c>
      <c r="O36" s="427">
        <f t="shared" si="16"/>
        <v>7639849.2800000003</v>
      </c>
      <c r="P36" s="427">
        <f t="shared" si="16"/>
        <v>12926098.079999998</v>
      </c>
      <c r="Q36" s="427">
        <f>SUM(E36:P36)</f>
        <v>106257778.57000001</v>
      </c>
    </row>
    <row r="37" spans="1:17" x14ac:dyDescent="0.2">
      <c r="B37" s="222"/>
      <c r="C37" s="222"/>
    </row>
    <row r="38" spans="1:17" x14ac:dyDescent="0.2">
      <c r="B38" s="222"/>
      <c r="C38" s="222"/>
    </row>
    <row r="39" spans="1:17" x14ac:dyDescent="0.2">
      <c r="B39" s="222"/>
      <c r="C39" s="222"/>
    </row>
    <row r="40" spans="1:17" x14ac:dyDescent="0.2">
      <c r="B40" s="222"/>
      <c r="C40" s="222"/>
    </row>
    <row r="41" spans="1:17" x14ac:dyDescent="0.2">
      <c r="B41" s="222"/>
      <c r="C41" s="222"/>
    </row>
    <row r="42" spans="1:17" x14ac:dyDescent="0.2">
      <c r="B42" s="222"/>
      <c r="C42" s="222"/>
    </row>
    <row r="43" spans="1:17" x14ac:dyDescent="0.2">
      <c r="B43" s="222"/>
      <c r="C43" s="222"/>
    </row>
    <row r="44" spans="1:17" x14ac:dyDescent="0.2">
      <c r="B44" s="222"/>
      <c r="C44" s="222"/>
    </row>
    <row r="45" spans="1:17" x14ac:dyDescent="0.2">
      <c r="B45" s="222"/>
      <c r="C45" s="222"/>
    </row>
    <row r="46" spans="1:17" x14ac:dyDescent="0.2">
      <c r="B46" s="222"/>
      <c r="C46" s="222"/>
    </row>
    <row r="47" spans="1:17" x14ac:dyDescent="0.2">
      <c r="A47" s="993" t="str">
        <f>CONAME</f>
        <v>Columbia Gas of Kentucky, Inc.</v>
      </c>
      <c r="B47" s="993"/>
      <c r="C47" s="993"/>
      <c r="D47" s="993"/>
      <c r="E47" s="993"/>
      <c r="F47" s="993"/>
      <c r="G47" s="993"/>
      <c r="H47" s="993"/>
      <c r="I47" s="993"/>
      <c r="J47" s="993"/>
      <c r="K47" s="993"/>
      <c r="L47" s="993"/>
      <c r="M47" s="993"/>
      <c r="N47" s="993"/>
      <c r="O47" s="993"/>
      <c r="P47" s="993"/>
      <c r="Q47" s="993"/>
    </row>
    <row r="48" spans="1:17" x14ac:dyDescent="0.2">
      <c r="A48" s="981" t="str">
        <f>case</f>
        <v>Case No. 2016-00162</v>
      </c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1"/>
      <c r="M48" s="981"/>
      <c r="N48" s="981"/>
      <c r="O48" s="981"/>
      <c r="P48" s="981"/>
      <c r="Q48" s="981"/>
    </row>
    <row r="49" spans="1:18" x14ac:dyDescent="0.2">
      <c r="A49" s="994" t="s">
        <v>200</v>
      </c>
      <c r="B49" s="994"/>
      <c r="C49" s="994"/>
      <c r="D49" s="994"/>
      <c r="E49" s="994"/>
      <c r="F49" s="994"/>
      <c r="G49" s="994"/>
      <c r="H49" s="994"/>
      <c r="I49" s="994"/>
      <c r="J49" s="994"/>
      <c r="K49" s="994"/>
      <c r="L49" s="994"/>
      <c r="M49" s="994"/>
      <c r="N49" s="994"/>
      <c r="O49" s="994"/>
      <c r="P49" s="994"/>
      <c r="Q49" s="994"/>
    </row>
    <row r="50" spans="1:18" x14ac:dyDescent="0.2">
      <c r="A50" s="993" t="str">
        <f>TYDESC</f>
        <v>For the 12 Months Ended December 31, 2017</v>
      </c>
      <c r="B50" s="993"/>
      <c r="C50" s="993"/>
      <c r="D50" s="993"/>
      <c r="E50" s="993"/>
      <c r="F50" s="993"/>
      <c r="G50" s="993"/>
      <c r="H50" s="993"/>
      <c r="I50" s="993"/>
      <c r="J50" s="993"/>
      <c r="K50" s="993"/>
      <c r="L50" s="993"/>
      <c r="M50" s="993"/>
      <c r="N50" s="993"/>
      <c r="O50" s="993"/>
      <c r="P50" s="993"/>
      <c r="Q50" s="993"/>
    </row>
    <row r="51" spans="1:18" x14ac:dyDescent="0.2">
      <c r="A51" s="991" t="s">
        <v>39</v>
      </c>
      <c r="B51" s="991"/>
      <c r="C51" s="991"/>
      <c r="D51" s="991"/>
      <c r="E51" s="991"/>
      <c r="F51" s="991"/>
      <c r="G51" s="991"/>
      <c r="H51" s="991"/>
      <c r="I51" s="991"/>
      <c r="J51" s="991"/>
      <c r="K51" s="991"/>
      <c r="L51" s="991"/>
      <c r="M51" s="991"/>
      <c r="N51" s="991"/>
      <c r="O51" s="991"/>
      <c r="P51" s="991"/>
      <c r="Q51" s="991"/>
    </row>
    <row r="52" spans="1:18" x14ac:dyDescent="0.2">
      <c r="A52" s="711" t="s">
        <v>527</v>
      </c>
    </row>
    <row r="53" spans="1:18" x14ac:dyDescent="0.2">
      <c r="A53" s="711" t="s">
        <v>528</v>
      </c>
      <c r="Q53" s="413" t="s">
        <v>65</v>
      </c>
    </row>
    <row r="54" spans="1:18" x14ac:dyDescent="0.2">
      <c r="A54" s="711" t="s">
        <v>63</v>
      </c>
      <c r="Q54" s="413" t="s">
        <v>497</v>
      </c>
    </row>
    <row r="55" spans="1:18" x14ac:dyDescent="0.2">
      <c r="A55" s="712" t="s">
        <v>302</v>
      </c>
      <c r="Q55" s="413" t="str">
        <f>Witness</f>
        <v>Witness:  M. J. Bell</v>
      </c>
    </row>
    <row r="56" spans="1:18" x14ac:dyDescent="0.2">
      <c r="A56" s="992" t="s">
        <v>293</v>
      </c>
      <c r="B56" s="992"/>
      <c r="C56" s="992"/>
      <c r="D56" s="992"/>
      <c r="E56" s="992"/>
      <c r="F56" s="992"/>
      <c r="G56" s="992"/>
      <c r="H56" s="992"/>
      <c r="I56" s="992"/>
      <c r="J56" s="992"/>
      <c r="K56" s="992"/>
      <c r="L56" s="992"/>
      <c r="M56" s="992"/>
      <c r="N56" s="992"/>
      <c r="O56" s="992"/>
      <c r="P56" s="992"/>
      <c r="Q56" s="992"/>
    </row>
    <row r="57" spans="1:18" x14ac:dyDescent="0.2">
      <c r="A57" s="225"/>
      <c r="B57" s="301"/>
      <c r="C57" s="301"/>
      <c r="D57" s="300"/>
      <c r="E57" s="301"/>
      <c r="F57" s="415"/>
      <c r="G57" s="435"/>
      <c r="H57" s="415"/>
      <c r="I57" s="436"/>
      <c r="J57" s="415"/>
      <c r="K57" s="415"/>
      <c r="L57" s="415"/>
      <c r="M57" s="415"/>
      <c r="N57" s="415"/>
      <c r="O57" s="415"/>
      <c r="P57" s="415"/>
      <c r="Q57" s="301"/>
    </row>
    <row r="58" spans="1:18" x14ac:dyDescent="0.2">
      <c r="A58" s="410" t="s">
        <v>1</v>
      </c>
      <c r="B58" s="224" t="s">
        <v>0</v>
      </c>
      <c r="C58" s="224" t="s">
        <v>41</v>
      </c>
      <c r="D58" s="416" t="s">
        <v>30</v>
      </c>
      <c r="E58" s="417"/>
      <c r="F58" s="418"/>
      <c r="G58" s="417"/>
      <c r="H58" s="419"/>
      <c r="I58" s="417"/>
      <c r="J58" s="417"/>
      <c r="K58" s="417"/>
      <c r="L58" s="417"/>
      <c r="M58" s="417"/>
      <c r="N58" s="417"/>
      <c r="O58" s="229"/>
      <c r="P58" s="229"/>
      <c r="Q58" s="229"/>
    </row>
    <row r="59" spans="1:18" x14ac:dyDescent="0.2">
      <c r="A59" s="281" t="s">
        <v>3</v>
      </c>
      <c r="B59" s="226" t="s">
        <v>40</v>
      </c>
      <c r="C59" s="226" t="s">
        <v>4</v>
      </c>
      <c r="D59" s="420" t="s">
        <v>48</v>
      </c>
      <c r="E59" s="421" t="str">
        <f>B!$D$11</f>
        <v>Jan-17</v>
      </c>
      <c r="F59" s="421" t="str">
        <f>B!$E$11</f>
        <v>Feb-17</v>
      </c>
      <c r="G59" s="421" t="str">
        <f>B!$F$11</f>
        <v>Mar-17</v>
      </c>
      <c r="H59" s="421" t="str">
        <f>B!$G$11</f>
        <v>Apr-17</v>
      </c>
      <c r="I59" s="421" t="str">
        <f>B!$H$11</f>
        <v>May-17</v>
      </c>
      <c r="J59" s="421" t="str">
        <f>B!$I$11</f>
        <v>Jun-17</v>
      </c>
      <c r="K59" s="421" t="str">
        <f>B!$J$11</f>
        <v>Jul-17</v>
      </c>
      <c r="L59" s="421" t="str">
        <f>B!$K$11</f>
        <v>Aug-17</v>
      </c>
      <c r="M59" s="421" t="str">
        <f>B!$L$11</f>
        <v>Sep-17</v>
      </c>
      <c r="N59" s="421" t="str">
        <f>B!$M$11</f>
        <v>Oct-17</v>
      </c>
      <c r="O59" s="421" t="str">
        <f>B!$N$11</f>
        <v>Nov-17</v>
      </c>
      <c r="P59" s="421" t="str">
        <f>B!$O$11</f>
        <v>Dec-17</v>
      </c>
      <c r="Q59" s="422" t="s">
        <v>9</v>
      </c>
      <c r="R59" s="282"/>
    </row>
    <row r="60" spans="1:18" x14ac:dyDescent="0.2">
      <c r="A60" s="410"/>
      <c r="B60" s="229" t="s">
        <v>42</v>
      </c>
      <c r="C60" s="229" t="s">
        <v>43</v>
      </c>
      <c r="D60" s="423" t="s">
        <v>45</v>
      </c>
      <c r="E60" s="424" t="s">
        <v>46</v>
      </c>
      <c r="F60" s="424" t="s">
        <v>49</v>
      </c>
      <c r="G60" s="424" t="s">
        <v>50</v>
      </c>
      <c r="H60" s="424" t="s">
        <v>51</v>
      </c>
      <c r="I60" s="424" t="s">
        <v>52</v>
      </c>
      <c r="J60" s="425" t="s">
        <v>53</v>
      </c>
      <c r="K60" s="425" t="s">
        <v>54</v>
      </c>
      <c r="L60" s="425" t="s">
        <v>55</v>
      </c>
      <c r="M60" s="425" t="s">
        <v>56</v>
      </c>
      <c r="N60" s="425" t="s">
        <v>57</v>
      </c>
      <c r="O60" s="425" t="s">
        <v>58</v>
      </c>
      <c r="P60" s="425" t="s">
        <v>59</v>
      </c>
      <c r="Q60" s="425" t="s">
        <v>203</v>
      </c>
      <c r="R60" s="229"/>
    </row>
    <row r="61" spans="1:18" x14ac:dyDescent="0.2">
      <c r="E61" s="229"/>
      <c r="F61" s="425"/>
      <c r="G61" s="437"/>
      <c r="H61" s="425"/>
      <c r="I61" s="424"/>
      <c r="J61" s="425"/>
      <c r="K61" s="425"/>
      <c r="L61" s="425"/>
      <c r="M61" s="425"/>
      <c r="N61" s="425"/>
      <c r="O61" s="425"/>
      <c r="P61" s="425"/>
      <c r="Q61" s="229"/>
    </row>
    <row r="62" spans="1:18" x14ac:dyDescent="0.2">
      <c r="A62" s="259">
        <v>1</v>
      </c>
      <c r="C62" s="438" t="s">
        <v>94</v>
      </c>
    </row>
    <row r="64" spans="1:18" x14ac:dyDescent="0.2">
      <c r="A64" s="259">
        <f>A62+1</f>
        <v>2</v>
      </c>
      <c r="B64" s="219" t="str">
        <f>Input!A19</f>
        <v>GSR</v>
      </c>
      <c r="C64" s="219" t="str">
        <f>'Sch M 2.1'!B19</f>
        <v>General Service - Residential</v>
      </c>
      <c r="G64" s="290"/>
      <c r="H64" s="288"/>
      <c r="Q64" s="290"/>
    </row>
    <row r="65" spans="1:17" x14ac:dyDescent="0.2">
      <c r="A65" s="259">
        <f>A64+1</f>
        <v>3</v>
      </c>
      <c r="C65" s="444" t="s">
        <v>219</v>
      </c>
      <c r="E65" s="240">
        <f t="shared" ref="E65:P65" si="17">E397</f>
        <v>99289</v>
      </c>
      <c r="F65" s="240">
        <f t="shared" si="17"/>
        <v>99473</v>
      </c>
      <c r="G65" s="240">
        <f t="shared" si="17"/>
        <v>99542</v>
      </c>
      <c r="H65" s="240">
        <f t="shared" si="17"/>
        <v>99522</v>
      </c>
      <c r="I65" s="240">
        <f t="shared" si="17"/>
        <v>99040</v>
      </c>
      <c r="J65" s="240">
        <f t="shared" si="17"/>
        <v>98094</v>
      </c>
      <c r="K65" s="240">
        <f t="shared" si="17"/>
        <v>97239</v>
      </c>
      <c r="L65" s="240">
        <f t="shared" si="17"/>
        <v>97617</v>
      </c>
      <c r="M65" s="240">
        <f t="shared" si="17"/>
        <v>96979</v>
      </c>
      <c r="N65" s="240">
        <f t="shared" si="17"/>
        <v>96955</v>
      </c>
      <c r="O65" s="240">
        <f t="shared" si="17"/>
        <v>97991</v>
      </c>
      <c r="P65" s="240">
        <f t="shared" si="17"/>
        <v>98925</v>
      </c>
      <c r="Q65" s="240">
        <f>SUM(E65:P65)</f>
        <v>1180666</v>
      </c>
    </row>
    <row r="66" spans="1:17" x14ac:dyDescent="0.2">
      <c r="A66" s="259">
        <f>A65+1</f>
        <v>4</v>
      </c>
      <c r="C66" s="444" t="s">
        <v>567</v>
      </c>
      <c r="E66" s="245">
        <f t="shared" ref="E66:P66" si="18">E401</f>
        <v>1331907.1000000001</v>
      </c>
      <c r="F66" s="245">
        <f t="shared" si="18"/>
        <v>1291151.8</v>
      </c>
      <c r="G66" s="245">
        <f t="shared" si="18"/>
        <v>968403</v>
      </c>
      <c r="H66" s="245">
        <f t="shared" si="18"/>
        <v>552553.4</v>
      </c>
      <c r="I66" s="245">
        <f t="shared" si="18"/>
        <v>259776.40000000002</v>
      </c>
      <c r="J66" s="245">
        <f t="shared" si="18"/>
        <v>123911.3</v>
      </c>
      <c r="K66" s="245">
        <f t="shared" si="18"/>
        <v>88930</v>
      </c>
      <c r="L66" s="245">
        <f t="shared" si="18"/>
        <v>85940.7</v>
      </c>
      <c r="M66" s="245">
        <f t="shared" si="18"/>
        <v>88922.9</v>
      </c>
      <c r="N66" s="245">
        <f t="shared" si="18"/>
        <v>141784.29999999999</v>
      </c>
      <c r="O66" s="245">
        <f t="shared" si="18"/>
        <v>408542.4</v>
      </c>
      <c r="P66" s="245">
        <f t="shared" si="18"/>
        <v>906257.2</v>
      </c>
      <c r="Q66" s="245">
        <f>SUM(E66:P66)</f>
        <v>6248080.5000000009</v>
      </c>
    </row>
    <row r="67" spans="1:17" x14ac:dyDescent="0.2">
      <c r="A67" s="259">
        <f>A66+1</f>
        <v>5</v>
      </c>
      <c r="C67" s="444" t="s">
        <v>221</v>
      </c>
      <c r="E67" s="427">
        <f>E404+E414</f>
        <v>6556420.4799999995</v>
      </c>
      <c r="F67" s="427">
        <f t="shared" ref="F67:P67" si="19">F404+F414</f>
        <v>6409577.1500000004</v>
      </c>
      <c r="G67" s="427">
        <f t="shared" si="19"/>
        <v>5223529.58</v>
      </c>
      <c r="H67" s="427">
        <f t="shared" si="19"/>
        <v>3693534.61</v>
      </c>
      <c r="I67" s="427">
        <f t="shared" si="19"/>
        <v>2608539.11</v>
      </c>
      <c r="J67" s="427">
        <f t="shared" si="19"/>
        <v>2092984.18</v>
      </c>
      <c r="K67" s="427">
        <f t="shared" si="19"/>
        <v>1950039.02</v>
      </c>
      <c r="L67" s="427">
        <f t="shared" si="19"/>
        <v>1945352</v>
      </c>
      <c r="M67" s="427">
        <f t="shared" si="19"/>
        <v>1945673.51</v>
      </c>
      <c r="N67" s="427">
        <f t="shared" si="19"/>
        <v>2139718.31</v>
      </c>
      <c r="O67" s="427">
        <f t="shared" si="19"/>
        <v>3138252.1500000004</v>
      </c>
      <c r="P67" s="427">
        <f t="shared" si="19"/>
        <v>4984634.7300000004</v>
      </c>
      <c r="Q67" s="427">
        <f>SUM(E67:P67)</f>
        <v>42688254.829999998</v>
      </c>
    </row>
    <row r="68" spans="1:17" x14ac:dyDescent="0.2">
      <c r="A68" s="259">
        <f>A67+1</f>
        <v>6</v>
      </c>
      <c r="C68" s="444" t="s">
        <v>222</v>
      </c>
      <c r="E68" s="427">
        <f t="shared" ref="E68:P68" si="20">E406</f>
        <v>2942315.97</v>
      </c>
      <c r="F68" s="427">
        <f t="shared" si="20"/>
        <v>2852283.44</v>
      </c>
      <c r="G68" s="427">
        <f t="shared" si="20"/>
        <v>2139299.0699999998</v>
      </c>
      <c r="H68" s="427">
        <f t="shared" si="20"/>
        <v>1220645.72</v>
      </c>
      <c r="I68" s="427">
        <f t="shared" si="20"/>
        <v>573872.05000000005</v>
      </c>
      <c r="J68" s="427">
        <f t="shared" si="20"/>
        <v>273732.45</v>
      </c>
      <c r="K68" s="427">
        <f t="shared" si="20"/>
        <v>196455.26</v>
      </c>
      <c r="L68" s="427">
        <f t="shared" si="20"/>
        <v>189851.6</v>
      </c>
      <c r="M68" s="427">
        <f t="shared" si="20"/>
        <v>196439.58</v>
      </c>
      <c r="N68" s="427">
        <f t="shared" si="20"/>
        <v>313215.7</v>
      </c>
      <c r="O68" s="427">
        <f t="shared" si="20"/>
        <v>902511.02</v>
      </c>
      <c r="P68" s="427">
        <f t="shared" si="20"/>
        <v>2002012.78</v>
      </c>
      <c r="Q68" s="427">
        <f>SUM(E68:P68)</f>
        <v>13802634.639999999</v>
      </c>
    </row>
    <row r="69" spans="1:17" x14ac:dyDescent="0.2">
      <c r="A69" s="713">
        <f>A68+1</f>
        <v>7</v>
      </c>
      <c r="B69" s="447"/>
      <c r="C69" s="448" t="s">
        <v>568</v>
      </c>
      <c r="D69" s="449"/>
      <c r="E69" s="450">
        <f t="shared" ref="E69:P69" si="21">E416</f>
        <v>9498736.4499999993</v>
      </c>
      <c r="F69" s="450">
        <f t="shared" si="21"/>
        <v>9261860.5899999999</v>
      </c>
      <c r="G69" s="450">
        <f t="shared" si="21"/>
        <v>7362828.6499999994</v>
      </c>
      <c r="H69" s="450">
        <f t="shared" si="21"/>
        <v>4914180.33</v>
      </c>
      <c r="I69" s="450">
        <f t="shared" si="21"/>
        <v>3182411.1599999997</v>
      </c>
      <c r="J69" s="450">
        <f t="shared" si="21"/>
        <v>2366716.63</v>
      </c>
      <c r="K69" s="450">
        <f t="shared" si="21"/>
        <v>2146494.2800000003</v>
      </c>
      <c r="L69" s="450">
        <f t="shared" si="21"/>
        <v>2135203.6</v>
      </c>
      <c r="M69" s="450">
        <f t="shared" si="21"/>
        <v>2142113.0900000003</v>
      </c>
      <c r="N69" s="450">
        <f t="shared" si="21"/>
        <v>2452934.0099999998</v>
      </c>
      <c r="O69" s="450">
        <f t="shared" si="21"/>
        <v>4040763.1700000004</v>
      </c>
      <c r="P69" s="450">
        <f t="shared" si="21"/>
        <v>6986647.5100000007</v>
      </c>
      <c r="Q69" s="450">
        <f>SUM(E69:P69)</f>
        <v>56490889.469999999</v>
      </c>
    </row>
    <row r="70" spans="1:17" x14ac:dyDescent="0.2">
      <c r="G70" s="290"/>
      <c r="H70" s="288"/>
      <c r="Q70" s="290"/>
    </row>
    <row r="71" spans="1:17" x14ac:dyDescent="0.2">
      <c r="A71" s="259">
        <f>A69+1</f>
        <v>8</v>
      </c>
      <c r="B71" s="219" t="str">
        <f>Input!A20</f>
        <v>G1C</v>
      </c>
      <c r="C71" s="219" t="str">
        <f>'Sch M 2.1'!B20</f>
        <v>LG&amp;E Commercial</v>
      </c>
      <c r="G71" s="290"/>
      <c r="Q71" s="290"/>
    </row>
    <row r="72" spans="1:17" x14ac:dyDescent="0.2">
      <c r="A72" s="259">
        <f>A71+1</f>
        <v>9</v>
      </c>
      <c r="C72" s="444" t="s">
        <v>219</v>
      </c>
      <c r="E72" s="240">
        <f t="shared" ref="E72:P72" si="22">E423</f>
        <v>3</v>
      </c>
      <c r="F72" s="240">
        <f t="shared" si="22"/>
        <v>3</v>
      </c>
      <c r="G72" s="240">
        <f t="shared" si="22"/>
        <v>4</v>
      </c>
      <c r="H72" s="240">
        <f t="shared" si="22"/>
        <v>4</v>
      </c>
      <c r="I72" s="240">
        <f t="shared" si="22"/>
        <v>4</v>
      </c>
      <c r="J72" s="240">
        <f t="shared" si="22"/>
        <v>4</v>
      </c>
      <c r="K72" s="240">
        <f t="shared" si="22"/>
        <v>4</v>
      </c>
      <c r="L72" s="240">
        <f t="shared" si="22"/>
        <v>3</v>
      </c>
      <c r="M72" s="240">
        <f t="shared" si="22"/>
        <v>3</v>
      </c>
      <c r="N72" s="240">
        <f t="shared" si="22"/>
        <v>3</v>
      </c>
      <c r="O72" s="240">
        <f t="shared" si="22"/>
        <v>3</v>
      </c>
      <c r="P72" s="240">
        <f t="shared" si="22"/>
        <v>3</v>
      </c>
      <c r="Q72" s="240">
        <f>SUM(E72:P72)</f>
        <v>41</v>
      </c>
    </row>
    <row r="73" spans="1:17" x14ac:dyDescent="0.2">
      <c r="A73" s="259">
        <f>A72+1</f>
        <v>10</v>
      </c>
      <c r="C73" s="444" t="s">
        <v>567</v>
      </c>
      <c r="E73" s="245">
        <f t="shared" ref="E73:P73" si="23">E426</f>
        <v>307.2</v>
      </c>
      <c r="F73" s="245">
        <f t="shared" si="23"/>
        <v>374.8</v>
      </c>
      <c r="G73" s="245">
        <f t="shared" si="23"/>
        <v>373.1</v>
      </c>
      <c r="H73" s="245">
        <f t="shared" si="23"/>
        <v>173.3</v>
      </c>
      <c r="I73" s="245">
        <f t="shared" si="23"/>
        <v>68.900000000000006</v>
      </c>
      <c r="J73" s="245">
        <f t="shared" si="23"/>
        <v>18</v>
      </c>
      <c r="K73" s="245">
        <f t="shared" si="23"/>
        <v>29.1</v>
      </c>
      <c r="L73" s="245">
        <f t="shared" si="23"/>
        <v>16.7</v>
      </c>
      <c r="M73" s="245">
        <f t="shared" si="23"/>
        <v>8.8000000000000007</v>
      </c>
      <c r="N73" s="245">
        <f t="shared" si="23"/>
        <v>22.2</v>
      </c>
      <c r="O73" s="245">
        <f t="shared" si="23"/>
        <v>83.3</v>
      </c>
      <c r="P73" s="245">
        <f t="shared" si="23"/>
        <v>222.4</v>
      </c>
      <c r="Q73" s="245">
        <f>SUM(E73:P73)</f>
        <v>1697.8</v>
      </c>
    </row>
    <row r="74" spans="1:17" x14ac:dyDescent="0.2">
      <c r="A74" s="259">
        <f>A73+1</f>
        <v>11</v>
      </c>
      <c r="C74" s="444" t="s">
        <v>221</v>
      </c>
      <c r="E74" s="427">
        <f t="shared" ref="E74:P74" si="24">E429</f>
        <v>833.02</v>
      </c>
      <c r="F74" s="427">
        <f t="shared" si="24"/>
        <v>978.75</v>
      </c>
      <c r="G74" s="427">
        <f t="shared" si="24"/>
        <v>1032.01</v>
      </c>
      <c r="H74" s="427">
        <f t="shared" si="24"/>
        <v>601.28</v>
      </c>
      <c r="I74" s="427">
        <f t="shared" si="24"/>
        <v>376.21000000000004</v>
      </c>
      <c r="J74" s="427">
        <f t="shared" si="24"/>
        <v>266.48</v>
      </c>
      <c r="K74" s="427">
        <f t="shared" si="24"/>
        <v>290.41000000000003</v>
      </c>
      <c r="L74" s="427">
        <f t="shared" si="24"/>
        <v>206.76</v>
      </c>
      <c r="M74" s="427">
        <f t="shared" si="24"/>
        <v>189.73</v>
      </c>
      <c r="N74" s="427">
        <f t="shared" si="24"/>
        <v>218.62</v>
      </c>
      <c r="O74" s="427">
        <f t="shared" si="24"/>
        <v>350.34000000000003</v>
      </c>
      <c r="P74" s="427">
        <f t="shared" si="24"/>
        <v>650.21</v>
      </c>
      <c r="Q74" s="427">
        <f>SUM(E74:P74)</f>
        <v>5993.82</v>
      </c>
    </row>
    <row r="75" spans="1:17" x14ac:dyDescent="0.2">
      <c r="A75" s="259">
        <f>A74+1</f>
        <v>12</v>
      </c>
      <c r="C75" s="444" t="s">
        <v>222</v>
      </c>
      <c r="E75" s="427">
        <f t="shared" ref="E75:P75" si="25">E431</f>
        <v>678.64</v>
      </c>
      <c r="F75" s="427">
        <f t="shared" si="25"/>
        <v>827.97</v>
      </c>
      <c r="G75" s="427">
        <f t="shared" si="25"/>
        <v>824.22</v>
      </c>
      <c r="H75" s="427">
        <f t="shared" si="25"/>
        <v>382.84</v>
      </c>
      <c r="I75" s="427">
        <f t="shared" si="25"/>
        <v>152.21</v>
      </c>
      <c r="J75" s="427">
        <f t="shared" si="25"/>
        <v>39.76</v>
      </c>
      <c r="K75" s="427">
        <f t="shared" si="25"/>
        <v>64.28</v>
      </c>
      <c r="L75" s="427">
        <f t="shared" si="25"/>
        <v>36.89</v>
      </c>
      <c r="M75" s="427">
        <f t="shared" si="25"/>
        <v>19.440000000000001</v>
      </c>
      <c r="N75" s="427">
        <f t="shared" si="25"/>
        <v>49.04</v>
      </c>
      <c r="O75" s="427">
        <f t="shared" si="25"/>
        <v>184.02</v>
      </c>
      <c r="P75" s="427">
        <f t="shared" si="25"/>
        <v>491.3</v>
      </c>
      <c r="Q75" s="427">
        <f>SUM(E75:P75)</f>
        <v>3750.6100000000006</v>
      </c>
    </row>
    <row r="76" spans="1:17" x14ac:dyDescent="0.2">
      <c r="A76" s="713">
        <f>A75+1</f>
        <v>13</v>
      </c>
      <c r="B76" s="447"/>
      <c r="C76" s="448" t="s">
        <v>568</v>
      </c>
      <c r="D76" s="449"/>
      <c r="E76" s="450">
        <f t="shared" ref="E76:P76" si="26">E433</f>
        <v>1511.6599999999999</v>
      </c>
      <c r="F76" s="450">
        <f t="shared" si="26"/>
        <v>1806.72</v>
      </c>
      <c r="G76" s="450">
        <f t="shared" si="26"/>
        <v>1856.23</v>
      </c>
      <c r="H76" s="450">
        <f t="shared" si="26"/>
        <v>984.11999999999989</v>
      </c>
      <c r="I76" s="450">
        <f t="shared" si="26"/>
        <v>528.42000000000007</v>
      </c>
      <c r="J76" s="450">
        <f t="shared" si="26"/>
        <v>306.24</v>
      </c>
      <c r="K76" s="450">
        <f t="shared" si="26"/>
        <v>354.69000000000005</v>
      </c>
      <c r="L76" s="450">
        <f t="shared" si="26"/>
        <v>243.64999999999998</v>
      </c>
      <c r="M76" s="450">
        <f t="shared" si="26"/>
        <v>209.17</v>
      </c>
      <c r="N76" s="450">
        <f t="shared" si="26"/>
        <v>267.66000000000003</v>
      </c>
      <c r="O76" s="450">
        <f t="shared" si="26"/>
        <v>534.36</v>
      </c>
      <c r="P76" s="450">
        <f t="shared" si="26"/>
        <v>1141.51</v>
      </c>
      <c r="Q76" s="450">
        <f>SUM(E76:P76)</f>
        <v>9744.43</v>
      </c>
    </row>
    <row r="77" spans="1:17" x14ac:dyDescent="0.2">
      <c r="G77" s="290"/>
      <c r="Q77" s="290"/>
    </row>
    <row r="78" spans="1:17" x14ac:dyDescent="0.2">
      <c r="A78" s="259">
        <f>A76+1</f>
        <v>14</v>
      </c>
      <c r="B78" s="219" t="str">
        <f>Input!A21</f>
        <v>G1R</v>
      </c>
      <c r="C78" s="219" t="str">
        <f>'Sch M 2.1'!B21</f>
        <v>LG&amp;E Residential</v>
      </c>
      <c r="G78" s="290"/>
      <c r="Q78" s="290"/>
    </row>
    <row r="79" spans="1:17" x14ac:dyDescent="0.2">
      <c r="A79" s="259">
        <f>A78+1</f>
        <v>15</v>
      </c>
      <c r="C79" s="444" t="s">
        <v>219</v>
      </c>
      <c r="E79" s="240">
        <f t="shared" ref="E79:P79" si="27">E458</f>
        <v>16</v>
      </c>
      <c r="F79" s="240">
        <f t="shared" si="27"/>
        <v>16</v>
      </c>
      <c r="G79" s="240">
        <f t="shared" si="27"/>
        <v>16</v>
      </c>
      <c r="H79" s="240">
        <f t="shared" si="27"/>
        <v>16</v>
      </c>
      <c r="I79" s="240">
        <f t="shared" si="27"/>
        <v>16</v>
      </c>
      <c r="J79" s="240">
        <f t="shared" si="27"/>
        <v>16</v>
      </c>
      <c r="K79" s="240">
        <f t="shared" si="27"/>
        <v>16</v>
      </c>
      <c r="L79" s="240">
        <f t="shared" si="27"/>
        <v>16</v>
      </c>
      <c r="M79" s="240">
        <f t="shared" si="27"/>
        <v>16</v>
      </c>
      <c r="N79" s="240">
        <f t="shared" si="27"/>
        <v>16</v>
      </c>
      <c r="O79" s="240">
        <f t="shared" si="27"/>
        <v>16</v>
      </c>
      <c r="P79" s="240">
        <f t="shared" si="27"/>
        <v>16</v>
      </c>
      <c r="Q79" s="240">
        <f>SUM(E79:P79)</f>
        <v>192</v>
      </c>
    </row>
    <row r="80" spans="1:17" x14ac:dyDescent="0.2">
      <c r="A80" s="259">
        <f>A79+1</f>
        <v>16</v>
      </c>
      <c r="C80" s="444" t="s">
        <v>567</v>
      </c>
      <c r="E80" s="245">
        <f t="shared" ref="E80:P80" si="28">E461</f>
        <v>458.3</v>
      </c>
      <c r="F80" s="245">
        <f t="shared" si="28"/>
        <v>345.9</v>
      </c>
      <c r="G80" s="245">
        <f t="shared" si="28"/>
        <v>279.39999999999998</v>
      </c>
      <c r="H80" s="245">
        <f t="shared" si="28"/>
        <v>174.8</v>
      </c>
      <c r="I80" s="245">
        <f t="shared" si="28"/>
        <v>81.099999999999994</v>
      </c>
      <c r="J80" s="245">
        <f t="shared" si="28"/>
        <v>33.4</v>
      </c>
      <c r="K80" s="245">
        <f t="shared" si="28"/>
        <v>24.1</v>
      </c>
      <c r="L80" s="245">
        <f t="shared" si="28"/>
        <v>27.6</v>
      </c>
      <c r="M80" s="245">
        <f t="shared" si="28"/>
        <v>28.4</v>
      </c>
      <c r="N80" s="245">
        <f t="shared" si="28"/>
        <v>68</v>
      </c>
      <c r="O80" s="245">
        <f t="shared" si="28"/>
        <v>159.19999999999999</v>
      </c>
      <c r="P80" s="245">
        <f t="shared" si="28"/>
        <v>338.7</v>
      </c>
      <c r="Q80" s="245">
        <f>SUM(E80:P80)</f>
        <v>2018.8999999999999</v>
      </c>
    </row>
    <row r="81" spans="1:17" x14ac:dyDescent="0.2">
      <c r="A81" s="259">
        <f>A80+1</f>
        <v>17</v>
      </c>
      <c r="C81" s="444" t="s">
        <v>221</v>
      </c>
      <c r="E81" s="427">
        <f t="shared" ref="E81:P81" si="29">E464</f>
        <v>1632.8899999999999</v>
      </c>
      <c r="F81" s="427">
        <f t="shared" si="29"/>
        <v>1300.18</v>
      </c>
      <c r="G81" s="427">
        <f t="shared" si="29"/>
        <v>1103.3399999999999</v>
      </c>
      <c r="H81" s="427">
        <f t="shared" si="29"/>
        <v>793.73</v>
      </c>
      <c r="I81" s="427">
        <f t="shared" si="29"/>
        <v>516.38</v>
      </c>
      <c r="J81" s="427">
        <f t="shared" si="29"/>
        <v>375.18</v>
      </c>
      <c r="K81" s="427">
        <f t="shared" si="29"/>
        <v>347.65999999999997</v>
      </c>
      <c r="L81" s="427">
        <f t="shared" si="29"/>
        <v>358.02</v>
      </c>
      <c r="M81" s="427">
        <f t="shared" si="29"/>
        <v>360.38</v>
      </c>
      <c r="N81" s="427">
        <f t="shared" si="29"/>
        <v>477.6</v>
      </c>
      <c r="O81" s="427">
        <f t="shared" si="29"/>
        <v>747.55</v>
      </c>
      <c r="P81" s="427">
        <f t="shared" si="29"/>
        <v>1278.8699999999999</v>
      </c>
      <c r="Q81" s="427">
        <f>SUM(E81:P81)</f>
        <v>9291.7799999999988</v>
      </c>
    </row>
    <row r="82" spans="1:17" x14ac:dyDescent="0.2">
      <c r="A82" s="259">
        <f>A81+1</f>
        <v>18</v>
      </c>
      <c r="C82" s="444" t="s">
        <v>222</v>
      </c>
      <c r="E82" s="427">
        <f t="shared" ref="E82:P82" si="30">E466</f>
        <v>1012.43</v>
      </c>
      <c r="F82" s="427">
        <f t="shared" si="30"/>
        <v>764.13</v>
      </c>
      <c r="G82" s="427">
        <f t="shared" si="30"/>
        <v>617.22</v>
      </c>
      <c r="H82" s="427">
        <f t="shared" si="30"/>
        <v>386.15</v>
      </c>
      <c r="I82" s="427">
        <f t="shared" si="30"/>
        <v>179.16</v>
      </c>
      <c r="J82" s="427">
        <f t="shared" si="30"/>
        <v>73.78</v>
      </c>
      <c r="K82" s="427">
        <f t="shared" si="30"/>
        <v>53.24</v>
      </c>
      <c r="L82" s="427">
        <f t="shared" si="30"/>
        <v>60.97</v>
      </c>
      <c r="M82" s="427">
        <f t="shared" si="30"/>
        <v>62.74</v>
      </c>
      <c r="N82" s="427">
        <f t="shared" si="30"/>
        <v>150.22</v>
      </c>
      <c r="O82" s="427">
        <f t="shared" si="30"/>
        <v>351.69</v>
      </c>
      <c r="P82" s="427">
        <f t="shared" si="30"/>
        <v>748.22</v>
      </c>
      <c r="Q82" s="427">
        <f>SUM(E82:P82)</f>
        <v>4459.9499999999989</v>
      </c>
    </row>
    <row r="83" spans="1:17" x14ac:dyDescent="0.2">
      <c r="A83" s="713">
        <f>A82+1</f>
        <v>19</v>
      </c>
      <c r="B83" s="447"/>
      <c r="C83" s="448" t="s">
        <v>568</v>
      </c>
      <c r="D83" s="449"/>
      <c r="E83" s="450">
        <f t="shared" ref="E83:P83" si="31">E468</f>
        <v>2645.3199999999997</v>
      </c>
      <c r="F83" s="450">
        <f t="shared" si="31"/>
        <v>2064.31</v>
      </c>
      <c r="G83" s="450">
        <f t="shared" si="31"/>
        <v>1720.56</v>
      </c>
      <c r="H83" s="450">
        <f t="shared" si="31"/>
        <v>1179.8800000000001</v>
      </c>
      <c r="I83" s="450">
        <f t="shared" si="31"/>
        <v>695.54</v>
      </c>
      <c r="J83" s="450">
        <f t="shared" si="31"/>
        <v>448.96000000000004</v>
      </c>
      <c r="K83" s="450">
        <f t="shared" si="31"/>
        <v>400.9</v>
      </c>
      <c r="L83" s="450">
        <f t="shared" si="31"/>
        <v>418.99</v>
      </c>
      <c r="M83" s="450">
        <f t="shared" si="31"/>
        <v>423.12</v>
      </c>
      <c r="N83" s="450">
        <f t="shared" si="31"/>
        <v>627.82000000000005</v>
      </c>
      <c r="O83" s="450">
        <f t="shared" si="31"/>
        <v>1099.24</v>
      </c>
      <c r="P83" s="450">
        <f t="shared" si="31"/>
        <v>2027.09</v>
      </c>
      <c r="Q83" s="450">
        <f>SUM(E83:P83)</f>
        <v>13751.73</v>
      </c>
    </row>
    <row r="84" spans="1:17" x14ac:dyDescent="0.2">
      <c r="G84" s="290"/>
      <c r="Q84" s="290"/>
    </row>
    <row r="85" spans="1:17" x14ac:dyDescent="0.2">
      <c r="A85" s="259">
        <f>A83+1</f>
        <v>20</v>
      </c>
      <c r="B85" s="219" t="str">
        <f>Input!A22</f>
        <v>IN3</v>
      </c>
      <c r="C85" s="219" t="str">
        <f>'Sch M 2.1'!B22</f>
        <v>Inland Gas General Service - Residential</v>
      </c>
      <c r="G85" s="290"/>
      <c r="Q85" s="290"/>
    </row>
    <row r="86" spans="1:17" x14ac:dyDescent="0.2">
      <c r="A86" s="259">
        <f>A85+1</f>
        <v>21</v>
      </c>
      <c r="C86" s="444" t="s">
        <v>219</v>
      </c>
      <c r="E86" s="240">
        <f t="shared" ref="E86:P86" si="32">E475</f>
        <v>9</v>
      </c>
      <c r="F86" s="240">
        <f t="shared" si="32"/>
        <v>9</v>
      </c>
      <c r="G86" s="240">
        <f t="shared" si="32"/>
        <v>9</v>
      </c>
      <c r="H86" s="240">
        <f t="shared" si="32"/>
        <v>10</v>
      </c>
      <c r="I86" s="240">
        <f t="shared" si="32"/>
        <v>8</v>
      </c>
      <c r="J86" s="240">
        <f t="shared" si="32"/>
        <v>9</v>
      </c>
      <c r="K86" s="240">
        <f t="shared" si="32"/>
        <v>9</v>
      </c>
      <c r="L86" s="240">
        <f t="shared" si="32"/>
        <v>9</v>
      </c>
      <c r="M86" s="240">
        <f t="shared" si="32"/>
        <v>9</v>
      </c>
      <c r="N86" s="240">
        <f t="shared" si="32"/>
        <v>9</v>
      </c>
      <c r="O86" s="240">
        <f t="shared" si="32"/>
        <v>9</v>
      </c>
      <c r="P86" s="240">
        <f t="shared" si="32"/>
        <v>9</v>
      </c>
      <c r="Q86" s="240">
        <f>SUM(E86:P86)</f>
        <v>108</v>
      </c>
    </row>
    <row r="87" spans="1:17" x14ac:dyDescent="0.2">
      <c r="A87" s="259">
        <f>A86+1</f>
        <v>22</v>
      </c>
      <c r="C87" s="444" t="s">
        <v>567</v>
      </c>
      <c r="E87" s="245">
        <f t="shared" ref="E87:P87" si="33">E478</f>
        <v>247.9</v>
      </c>
      <c r="F87" s="245">
        <f t="shared" si="33"/>
        <v>172.9</v>
      </c>
      <c r="G87" s="245">
        <f t="shared" si="33"/>
        <v>116.2</v>
      </c>
      <c r="H87" s="245">
        <f t="shared" si="33"/>
        <v>84.5</v>
      </c>
      <c r="I87" s="245">
        <f t="shared" si="33"/>
        <v>36.299999999999997</v>
      </c>
      <c r="J87" s="245">
        <f t="shared" si="33"/>
        <v>17</v>
      </c>
      <c r="K87" s="245">
        <f t="shared" si="33"/>
        <v>11.6</v>
      </c>
      <c r="L87" s="245">
        <f t="shared" si="33"/>
        <v>10.8</v>
      </c>
      <c r="M87" s="245">
        <f t="shared" si="33"/>
        <v>11.5</v>
      </c>
      <c r="N87" s="245">
        <f t="shared" si="33"/>
        <v>34</v>
      </c>
      <c r="O87" s="245">
        <f t="shared" si="33"/>
        <v>90.2</v>
      </c>
      <c r="P87" s="245">
        <f t="shared" si="33"/>
        <v>157.30000000000001</v>
      </c>
      <c r="Q87" s="245">
        <f>SUM(E87:P87)</f>
        <v>990.2</v>
      </c>
    </row>
    <row r="88" spans="1:17" x14ac:dyDescent="0.2">
      <c r="A88" s="259">
        <f>A87+1</f>
        <v>23</v>
      </c>
      <c r="C88" s="444" t="s">
        <v>221</v>
      </c>
      <c r="E88" s="427">
        <f t="shared" ref="E88:P88" si="34">E481</f>
        <v>99.16</v>
      </c>
      <c r="F88" s="427">
        <f t="shared" si="34"/>
        <v>69.16</v>
      </c>
      <c r="G88" s="427">
        <f t="shared" si="34"/>
        <v>46.48</v>
      </c>
      <c r="H88" s="427">
        <f t="shared" si="34"/>
        <v>33.799999999999997</v>
      </c>
      <c r="I88" s="427">
        <f t="shared" si="34"/>
        <v>14.52</v>
      </c>
      <c r="J88" s="427">
        <f t="shared" si="34"/>
        <v>6.8</v>
      </c>
      <c r="K88" s="427">
        <f t="shared" si="34"/>
        <v>4.6399999999999997</v>
      </c>
      <c r="L88" s="427">
        <f t="shared" si="34"/>
        <v>4.32</v>
      </c>
      <c r="M88" s="427">
        <f t="shared" si="34"/>
        <v>4.5999999999999996</v>
      </c>
      <c r="N88" s="427">
        <f t="shared" si="34"/>
        <v>13.6</v>
      </c>
      <c r="O88" s="427">
        <f t="shared" si="34"/>
        <v>36.08</v>
      </c>
      <c r="P88" s="427">
        <f t="shared" si="34"/>
        <v>62.92</v>
      </c>
      <c r="Q88" s="427">
        <f>SUM(E88:P88)</f>
        <v>396.08</v>
      </c>
    </row>
    <row r="89" spans="1:17" x14ac:dyDescent="0.2">
      <c r="A89" s="259">
        <f>A88+1</f>
        <v>24</v>
      </c>
      <c r="C89" s="444" t="s">
        <v>222</v>
      </c>
      <c r="E89" s="427">
        <f t="shared" ref="E89:P89" si="35">E483</f>
        <v>0</v>
      </c>
      <c r="F89" s="427">
        <f t="shared" si="35"/>
        <v>0</v>
      </c>
      <c r="G89" s="427">
        <f t="shared" si="35"/>
        <v>0</v>
      </c>
      <c r="H89" s="427">
        <f t="shared" si="35"/>
        <v>0</v>
      </c>
      <c r="I89" s="427">
        <f t="shared" si="35"/>
        <v>0</v>
      </c>
      <c r="J89" s="427">
        <f t="shared" si="35"/>
        <v>0</v>
      </c>
      <c r="K89" s="427">
        <f t="shared" si="35"/>
        <v>0</v>
      </c>
      <c r="L89" s="427">
        <f t="shared" si="35"/>
        <v>0</v>
      </c>
      <c r="M89" s="427">
        <f t="shared" si="35"/>
        <v>0</v>
      </c>
      <c r="N89" s="427">
        <f t="shared" si="35"/>
        <v>0</v>
      </c>
      <c r="O89" s="427">
        <f t="shared" si="35"/>
        <v>0</v>
      </c>
      <c r="P89" s="427">
        <f t="shared" si="35"/>
        <v>0</v>
      </c>
      <c r="Q89" s="427">
        <f>SUM(E89:P89)</f>
        <v>0</v>
      </c>
    </row>
    <row r="90" spans="1:17" x14ac:dyDescent="0.2">
      <c r="A90" s="713">
        <f>A89+1</f>
        <v>25</v>
      </c>
      <c r="B90" s="447"/>
      <c r="C90" s="448" t="s">
        <v>568</v>
      </c>
      <c r="D90" s="449"/>
      <c r="E90" s="450">
        <f t="shared" ref="E90:P90" si="36">E485</f>
        <v>99.16</v>
      </c>
      <c r="F90" s="450">
        <f t="shared" si="36"/>
        <v>69.16</v>
      </c>
      <c r="G90" s="450">
        <f t="shared" si="36"/>
        <v>46.48</v>
      </c>
      <c r="H90" s="450">
        <f t="shared" si="36"/>
        <v>33.799999999999997</v>
      </c>
      <c r="I90" s="450">
        <f t="shared" si="36"/>
        <v>14.52</v>
      </c>
      <c r="J90" s="450">
        <f t="shared" si="36"/>
        <v>6.8</v>
      </c>
      <c r="K90" s="450">
        <f t="shared" si="36"/>
        <v>4.6399999999999997</v>
      </c>
      <c r="L90" s="450">
        <f t="shared" si="36"/>
        <v>4.32</v>
      </c>
      <c r="M90" s="450">
        <f t="shared" si="36"/>
        <v>4.5999999999999996</v>
      </c>
      <c r="N90" s="450">
        <f t="shared" si="36"/>
        <v>13.6</v>
      </c>
      <c r="O90" s="450">
        <f t="shared" si="36"/>
        <v>36.08</v>
      </c>
      <c r="P90" s="450">
        <f t="shared" si="36"/>
        <v>62.92</v>
      </c>
      <c r="Q90" s="450">
        <f>SUM(E90:P90)</f>
        <v>396.08</v>
      </c>
    </row>
    <row r="91" spans="1:17" x14ac:dyDescent="0.2">
      <c r="G91" s="290"/>
      <c r="Q91" s="290"/>
    </row>
    <row r="92" spans="1:17" x14ac:dyDescent="0.2">
      <c r="A92" s="259">
        <f>A90+1</f>
        <v>26</v>
      </c>
      <c r="B92" s="219" t="str">
        <f>Input!A24</f>
        <v>IN4</v>
      </c>
      <c r="C92" s="219" t="str">
        <f>'Sch M 2.1'!B23</f>
        <v>Inland Gas General Service - Residential</v>
      </c>
      <c r="G92" s="290"/>
      <c r="Q92" s="290"/>
    </row>
    <row r="93" spans="1:17" x14ac:dyDescent="0.2">
      <c r="A93" s="259">
        <f>A92+1</f>
        <v>27</v>
      </c>
      <c r="C93" s="444" t="s">
        <v>219</v>
      </c>
      <c r="E93" s="240">
        <f t="shared" ref="E93:P93" si="37">E492</f>
        <v>0</v>
      </c>
      <c r="F93" s="240">
        <f t="shared" si="37"/>
        <v>0</v>
      </c>
      <c r="G93" s="240">
        <f t="shared" si="37"/>
        <v>0</v>
      </c>
      <c r="H93" s="240">
        <f t="shared" si="37"/>
        <v>0</v>
      </c>
      <c r="I93" s="240">
        <f t="shared" si="37"/>
        <v>0</v>
      </c>
      <c r="J93" s="240">
        <f t="shared" si="37"/>
        <v>0</v>
      </c>
      <c r="K93" s="240">
        <f t="shared" si="37"/>
        <v>0</v>
      </c>
      <c r="L93" s="240">
        <f t="shared" si="37"/>
        <v>0</v>
      </c>
      <c r="M93" s="240">
        <f t="shared" si="37"/>
        <v>0</v>
      </c>
      <c r="N93" s="240">
        <f t="shared" si="37"/>
        <v>0</v>
      </c>
      <c r="O93" s="240">
        <f t="shared" si="37"/>
        <v>0</v>
      </c>
      <c r="P93" s="240">
        <f t="shared" si="37"/>
        <v>0</v>
      </c>
      <c r="Q93" s="240">
        <f>SUM(E93:P93)</f>
        <v>0</v>
      </c>
    </row>
    <row r="94" spans="1:17" x14ac:dyDescent="0.2">
      <c r="A94" s="259">
        <f>A93+1</f>
        <v>28</v>
      </c>
      <c r="C94" s="444" t="s">
        <v>567</v>
      </c>
      <c r="E94" s="245">
        <f t="shared" ref="E94:P94" si="38">E495</f>
        <v>0</v>
      </c>
      <c r="F94" s="245">
        <f t="shared" si="38"/>
        <v>0</v>
      </c>
      <c r="G94" s="245">
        <f t="shared" si="38"/>
        <v>0</v>
      </c>
      <c r="H94" s="245">
        <f t="shared" si="38"/>
        <v>0</v>
      </c>
      <c r="I94" s="245">
        <f t="shared" si="38"/>
        <v>0</v>
      </c>
      <c r="J94" s="245">
        <f t="shared" si="38"/>
        <v>0</v>
      </c>
      <c r="K94" s="245">
        <f t="shared" si="38"/>
        <v>0</v>
      </c>
      <c r="L94" s="245">
        <f t="shared" si="38"/>
        <v>0</v>
      </c>
      <c r="M94" s="245">
        <f t="shared" si="38"/>
        <v>0</v>
      </c>
      <c r="N94" s="245">
        <f t="shared" si="38"/>
        <v>0</v>
      </c>
      <c r="O94" s="245">
        <f t="shared" si="38"/>
        <v>0</v>
      </c>
      <c r="P94" s="245">
        <f t="shared" si="38"/>
        <v>0</v>
      </c>
      <c r="Q94" s="245">
        <f>SUM(E94:P94)</f>
        <v>0</v>
      </c>
    </row>
    <row r="95" spans="1:17" x14ac:dyDescent="0.2">
      <c r="A95" s="259">
        <f>A94+1</f>
        <v>29</v>
      </c>
      <c r="C95" s="444" t="s">
        <v>221</v>
      </c>
      <c r="E95" s="427">
        <f t="shared" ref="E95:P95" si="39">E498</f>
        <v>0</v>
      </c>
      <c r="F95" s="427">
        <f t="shared" si="39"/>
        <v>0</v>
      </c>
      <c r="G95" s="427">
        <f t="shared" si="39"/>
        <v>0</v>
      </c>
      <c r="H95" s="427">
        <f t="shared" si="39"/>
        <v>0</v>
      </c>
      <c r="I95" s="427">
        <f t="shared" si="39"/>
        <v>0</v>
      </c>
      <c r="J95" s="427">
        <f t="shared" si="39"/>
        <v>0</v>
      </c>
      <c r="K95" s="427">
        <f t="shared" si="39"/>
        <v>0</v>
      </c>
      <c r="L95" s="427">
        <f t="shared" si="39"/>
        <v>0</v>
      </c>
      <c r="M95" s="427">
        <f t="shared" si="39"/>
        <v>0</v>
      </c>
      <c r="N95" s="427">
        <f t="shared" si="39"/>
        <v>0</v>
      </c>
      <c r="O95" s="427">
        <f t="shared" si="39"/>
        <v>0</v>
      </c>
      <c r="P95" s="427">
        <f t="shared" si="39"/>
        <v>0</v>
      </c>
      <c r="Q95" s="427">
        <f>SUM(E95:P95)</f>
        <v>0</v>
      </c>
    </row>
    <row r="96" spans="1:17" x14ac:dyDescent="0.2">
      <c r="A96" s="259">
        <f>A95+1</f>
        <v>30</v>
      </c>
      <c r="C96" s="444" t="s">
        <v>222</v>
      </c>
      <c r="E96" s="427">
        <f t="shared" ref="E96:P96" si="40">E500</f>
        <v>0</v>
      </c>
      <c r="F96" s="427">
        <f t="shared" si="40"/>
        <v>0</v>
      </c>
      <c r="G96" s="427">
        <f t="shared" si="40"/>
        <v>0</v>
      </c>
      <c r="H96" s="427">
        <f t="shared" si="40"/>
        <v>0</v>
      </c>
      <c r="I96" s="427">
        <f t="shared" si="40"/>
        <v>0</v>
      </c>
      <c r="J96" s="427">
        <f t="shared" si="40"/>
        <v>0</v>
      </c>
      <c r="K96" s="427">
        <f t="shared" si="40"/>
        <v>0</v>
      </c>
      <c r="L96" s="427">
        <f t="shared" si="40"/>
        <v>0</v>
      </c>
      <c r="M96" s="427">
        <f t="shared" si="40"/>
        <v>0</v>
      </c>
      <c r="N96" s="427">
        <f t="shared" si="40"/>
        <v>0</v>
      </c>
      <c r="O96" s="427">
        <f t="shared" si="40"/>
        <v>0</v>
      </c>
      <c r="P96" s="427">
        <f t="shared" si="40"/>
        <v>0</v>
      </c>
      <c r="Q96" s="427">
        <f>SUM(E96:P96)</f>
        <v>0</v>
      </c>
    </row>
    <row r="97" spans="1:18" x14ac:dyDescent="0.2">
      <c r="A97" s="713">
        <f>A96+1</f>
        <v>31</v>
      </c>
      <c r="B97" s="447"/>
      <c r="C97" s="448" t="s">
        <v>568</v>
      </c>
      <c r="D97" s="449"/>
      <c r="E97" s="450">
        <f t="shared" ref="E97:P97" si="41">E502</f>
        <v>0</v>
      </c>
      <c r="F97" s="450">
        <f t="shared" si="41"/>
        <v>0</v>
      </c>
      <c r="G97" s="450">
        <f t="shared" si="41"/>
        <v>0</v>
      </c>
      <c r="H97" s="450">
        <f t="shared" si="41"/>
        <v>0</v>
      </c>
      <c r="I97" s="450">
        <f t="shared" si="41"/>
        <v>0</v>
      </c>
      <c r="J97" s="450">
        <f t="shared" si="41"/>
        <v>0</v>
      </c>
      <c r="K97" s="450">
        <f t="shared" si="41"/>
        <v>0</v>
      </c>
      <c r="L97" s="450">
        <f t="shared" si="41"/>
        <v>0</v>
      </c>
      <c r="M97" s="450">
        <f t="shared" si="41"/>
        <v>0</v>
      </c>
      <c r="N97" s="450">
        <f t="shared" si="41"/>
        <v>0</v>
      </c>
      <c r="O97" s="450">
        <f t="shared" si="41"/>
        <v>0</v>
      </c>
      <c r="P97" s="450">
        <f t="shared" si="41"/>
        <v>0</v>
      </c>
      <c r="Q97" s="450">
        <f>SUM(E97:P97)</f>
        <v>0</v>
      </c>
    </row>
    <row r="98" spans="1:18" x14ac:dyDescent="0.2">
      <c r="G98" s="290"/>
      <c r="Q98" s="290"/>
    </row>
    <row r="99" spans="1:18" x14ac:dyDescent="0.2">
      <c r="A99" s="259">
        <f>A97+1</f>
        <v>32</v>
      </c>
      <c r="B99" s="219" t="str">
        <f>Input!A25</f>
        <v>IN5</v>
      </c>
      <c r="C99" s="219" t="str">
        <f>'Sch M 2.1'!B24</f>
        <v>Inland Gas General Service - Residential</v>
      </c>
      <c r="G99" s="290"/>
      <c r="Q99" s="290"/>
    </row>
    <row r="100" spans="1:18" x14ac:dyDescent="0.2">
      <c r="A100" s="259">
        <f>A99+1</f>
        <v>33</v>
      </c>
      <c r="C100" s="444" t="s">
        <v>219</v>
      </c>
      <c r="E100" s="240">
        <f t="shared" ref="E100:P100" si="42">E526</f>
        <v>3</v>
      </c>
      <c r="F100" s="240">
        <f t="shared" si="42"/>
        <v>3</v>
      </c>
      <c r="G100" s="240">
        <f t="shared" si="42"/>
        <v>3</v>
      </c>
      <c r="H100" s="240">
        <f t="shared" si="42"/>
        <v>3</v>
      </c>
      <c r="I100" s="240">
        <f t="shared" si="42"/>
        <v>3</v>
      </c>
      <c r="J100" s="240">
        <f t="shared" si="42"/>
        <v>3</v>
      </c>
      <c r="K100" s="240">
        <f t="shared" si="42"/>
        <v>3</v>
      </c>
      <c r="L100" s="240">
        <f t="shared" si="42"/>
        <v>3</v>
      </c>
      <c r="M100" s="240">
        <f t="shared" si="42"/>
        <v>3</v>
      </c>
      <c r="N100" s="240">
        <f t="shared" si="42"/>
        <v>3</v>
      </c>
      <c r="O100" s="240">
        <f t="shared" si="42"/>
        <v>3</v>
      </c>
      <c r="P100" s="240">
        <f t="shared" si="42"/>
        <v>3</v>
      </c>
      <c r="Q100" s="240">
        <f>SUM(E100:P100)</f>
        <v>36</v>
      </c>
    </row>
    <row r="101" spans="1:18" x14ac:dyDescent="0.2">
      <c r="A101" s="259">
        <f>A100+1</f>
        <v>34</v>
      </c>
      <c r="C101" s="444" t="s">
        <v>567</v>
      </c>
      <c r="E101" s="245">
        <f t="shared" ref="E101:P101" si="43">E529</f>
        <v>84.3</v>
      </c>
      <c r="F101" s="245">
        <f t="shared" si="43"/>
        <v>54.6</v>
      </c>
      <c r="G101" s="245">
        <f t="shared" si="43"/>
        <v>43.5</v>
      </c>
      <c r="H101" s="245">
        <f t="shared" si="43"/>
        <v>25.4</v>
      </c>
      <c r="I101" s="245">
        <f t="shared" si="43"/>
        <v>12.3</v>
      </c>
      <c r="J101" s="245">
        <f t="shared" si="43"/>
        <v>4.9000000000000004</v>
      </c>
      <c r="K101" s="245">
        <f t="shared" si="43"/>
        <v>2.4</v>
      </c>
      <c r="L101" s="245">
        <f t="shared" si="43"/>
        <v>2.9</v>
      </c>
      <c r="M101" s="245">
        <f t="shared" si="43"/>
        <v>4.3</v>
      </c>
      <c r="N101" s="245">
        <f t="shared" si="43"/>
        <v>14.9</v>
      </c>
      <c r="O101" s="245">
        <f t="shared" si="43"/>
        <v>32.1</v>
      </c>
      <c r="P101" s="245">
        <f t="shared" si="43"/>
        <v>52</v>
      </c>
      <c r="Q101" s="245">
        <f>SUM(E101:P101)</f>
        <v>333.60000000000008</v>
      </c>
    </row>
    <row r="102" spans="1:18" x14ac:dyDescent="0.2">
      <c r="A102" s="259">
        <f>A101+1</f>
        <v>35</v>
      </c>
      <c r="C102" s="444" t="s">
        <v>221</v>
      </c>
      <c r="E102" s="427">
        <f t="shared" ref="E102:P102" si="44">E532</f>
        <v>50.58</v>
      </c>
      <c r="F102" s="427">
        <f t="shared" si="44"/>
        <v>32.76</v>
      </c>
      <c r="G102" s="427">
        <f t="shared" si="44"/>
        <v>26.1</v>
      </c>
      <c r="H102" s="427">
        <f t="shared" si="44"/>
        <v>15.24</v>
      </c>
      <c r="I102" s="427">
        <f t="shared" si="44"/>
        <v>7.38</v>
      </c>
      <c r="J102" s="427">
        <f t="shared" si="44"/>
        <v>2.94</v>
      </c>
      <c r="K102" s="427">
        <f t="shared" si="44"/>
        <v>1.44</v>
      </c>
      <c r="L102" s="427">
        <f t="shared" si="44"/>
        <v>1.74</v>
      </c>
      <c r="M102" s="427">
        <f t="shared" si="44"/>
        <v>2.58</v>
      </c>
      <c r="N102" s="427">
        <f t="shared" si="44"/>
        <v>8.94</v>
      </c>
      <c r="O102" s="427">
        <f t="shared" si="44"/>
        <v>19.260000000000002</v>
      </c>
      <c r="P102" s="427">
        <f t="shared" si="44"/>
        <v>31.2</v>
      </c>
      <c r="Q102" s="427">
        <f>SUM(E102:P102)</f>
        <v>200.16</v>
      </c>
    </row>
    <row r="103" spans="1:18" x14ac:dyDescent="0.2">
      <c r="A103" s="259">
        <f>A102+1</f>
        <v>36</v>
      </c>
      <c r="C103" s="444" t="s">
        <v>222</v>
      </c>
      <c r="E103" s="427">
        <f t="shared" ref="E103:P103" si="45">E534</f>
        <v>0</v>
      </c>
      <c r="F103" s="427">
        <f t="shared" si="45"/>
        <v>0</v>
      </c>
      <c r="G103" s="427">
        <f t="shared" si="45"/>
        <v>0</v>
      </c>
      <c r="H103" s="427">
        <f t="shared" si="45"/>
        <v>0</v>
      </c>
      <c r="I103" s="427">
        <f t="shared" si="45"/>
        <v>0</v>
      </c>
      <c r="J103" s="427">
        <f t="shared" si="45"/>
        <v>0</v>
      </c>
      <c r="K103" s="427">
        <f t="shared" si="45"/>
        <v>0</v>
      </c>
      <c r="L103" s="427">
        <f t="shared" si="45"/>
        <v>0</v>
      </c>
      <c r="M103" s="427">
        <f t="shared" si="45"/>
        <v>0</v>
      </c>
      <c r="N103" s="427">
        <f t="shared" si="45"/>
        <v>0</v>
      </c>
      <c r="O103" s="427">
        <f t="shared" si="45"/>
        <v>0</v>
      </c>
      <c r="P103" s="427">
        <f t="shared" si="45"/>
        <v>0</v>
      </c>
      <c r="Q103" s="427">
        <f>SUM(E103:P103)</f>
        <v>0</v>
      </c>
    </row>
    <row r="104" spans="1:18" x14ac:dyDescent="0.2">
      <c r="A104" s="713">
        <f>A103+1</f>
        <v>37</v>
      </c>
      <c r="B104" s="447"/>
      <c r="C104" s="448" t="s">
        <v>568</v>
      </c>
      <c r="D104" s="449"/>
      <c r="E104" s="450">
        <f t="shared" ref="E104:P104" si="46">E536</f>
        <v>50.58</v>
      </c>
      <c r="F104" s="450">
        <f t="shared" si="46"/>
        <v>32.76</v>
      </c>
      <c r="G104" s="450">
        <f t="shared" si="46"/>
        <v>26.1</v>
      </c>
      <c r="H104" s="450">
        <f t="shared" si="46"/>
        <v>15.24</v>
      </c>
      <c r="I104" s="450">
        <f t="shared" si="46"/>
        <v>7.38</v>
      </c>
      <c r="J104" s="450">
        <f t="shared" si="46"/>
        <v>2.94</v>
      </c>
      <c r="K104" s="450">
        <f t="shared" si="46"/>
        <v>1.44</v>
      </c>
      <c r="L104" s="450">
        <f t="shared" si="46"/>
        <v>1.74</v>
      </c>
      <c r="M104" s="450">
        <f t="shared" si="46"/>
        <v>2.58</v>
      </c>
      <c r="N104" s="450">
        <f t="shared" si="46"/>
        <v>8.94</v>
      </c>
      <c r="O104" s="450">
        <f t="shared" si="46"/>
        <v>19.260000000000002</v>
      </c>
      <c r="P104" s="450">
        <f t="shared" si="46"/>
        <v>31.2</v>
      </c>
      <c r="Q104" s="450">
        <f>SUM(E104:P104)</f>
        <v>200.16</v>
      </c>
    </row>
    <row r="107" spans="1:18" x14ac:dyDescent="0.2">
      <c r="A107" s="714" t="s">
        <v>113</v>
      </c>
    </row>
    <row r="108" spans="1:18" x14ac:dyDescent="0.2">
      <c r="A108" s="714" t="s">
        <v>573</v>
      </c>
    </row>
    <row r="109" spans="1:18" x14ac:dyDescent="0.2">
      <c r="A109" s="993" t="str">
        <f>CONAME</f>
        <v>Columbia Gas of Kentucky, Inc.</v>
      </c>
      <c r="B109" s="993"/>
      <c r="C109" s="993"/>
      <c r="D109" s="993"/>
      <c r="E109" s="993"/>
      <c r="F109" s="993"/>
      <c r="G109" s="993"/>
      <c r="H109" s="993"/>
      <c r="I109" s="993"/>
      <c r="J109" s="993"/>
      <c r="K109" s="993"/>
      <c r="L109" s="993"/>
      <c r="M109" s="993"/>
      <c r="N109" s="993"/>
      <c r="O109" s="993"/>
      <c r="P109" s="993"/>
      <c r="Q109" s="993"/>
      <c r="R109" s="458"/>
    </row>
    <row r="110" spans="1:18" x14ac:dyDescent="0.2">
      <c r="A110" s="981" t="str">
        <f>case</f>
        <v>Case No. 2016-00162</v>
      </c>
      <c r="B110" s="981"/>
      <c r="C110" s="981"/>
      <c r="D110" s="981"/>
      <c r="E110" s="981"/>
      <c r="F110" s="981"/>
      <c r="G110" s="981"/>
      <c r="H110" s="981"/>
      <c r="I110" s="981"/>
      <c r="J110" s="981"/>
      <c r="K110" s="981"/>
      <c r="L110" s="981"/>
      <c r="M110" s="981"/>
      <c r="N110" s="981"/>
      <c r="O110" s="981"/>
      <c r="P110" s="981"/>
      <c r="Q110" s="981"/>
      <c r="R110" s="458"/>
    </row>
    <row r="111" spans="1:18" x14ac:dyDescent="0.2">
      <c r="A111" s="994" t="s">
        <v>200</v>
      </c>
      <c r="B111" s="994"/>
      <c r="C111" s="994"/>
      <c r="D111" s="994"/>
      <c r="E111" s="994"/>
      <c r="F111" s="994"/>
      <c r="G111" s="994"/>
      <c r="H111" s="994"/>
      <c r="I111" s="994"/>
      <c r="J111" s="994"/>
      <c r="K111" s="994"/>
      <c r="L111" s="994"/>
      <c r="M111" s="994"/>
      <c r="N111" s="994"/>
      <c r="O111" s="994"/>
      <c r="P111" s="994"/>
      <c r="Q111" s="994"/>
      <c r="R111" s="458"/>
    </row>
    <row r="112" spans="1:18" x14ac:dyDescent="0.2">
      <c r="A112" s="993" t="str">
        <f>TYDESC</f>
        <v>For the 12 Months Ended December 31, 2017</v>
      </c>
      <c r="B112" s="993"/>
      <c r="C112" s="993"/>
      <c r="D112" s="993"/>
      <c r="E112" s="993"/>
      <c r="F112" s="993"/>
      <c r="G112" s="993"/>
      <c r="H112" s="993"/>
      <c r="I112" s="993"/>
      <c r="J112" s="993"/>
      <c r="K112" s="993"/>
      <c r="L112" s="993"/>
      <c r="M112" s="993"/>
      <c r="N112" s="993"/>
      <c r="O112" s="993"/>
      <c r="P112" s="993"/>
      <c r="Q112" s="993"/>
      <c r="R112" s="458"/>
    </row>
    <row r="113" spans="1:18" x14ac:dyDescent="0.2">
      <c r="A113" s="991" t="s">
        <v>39</v>
      </c>
      <c r="B113" s="991"/>
      <c r="C113" s="991"/>
      <c r="D113" s="991"/>
      <c r="E113" s="991"/>
      <c r="F113" s="991"/>
      <c r="G113" s="991"/>
      <c r="H113" s="991"/>
      <c r="I113" s="991"/>
      <c r="J113" s="991"/>
      <c r="K113" s="991"/>
      <c r="L113" s="991"/>
      <c r="M113" s="991"/>
      <c r="N113" s="991"/>
      <c r="O113" s="991"/>
      <c r="P113" s="991"/>
      <c r="Q113" s="991"/>
      <c r="R113" s="458"/>
    </row>
    <row r="114" spans="1:18" x14ac:dyDescent="0.2">
      <c r="A114" s="711" t="str">
        <f>$A$52</f>
        <v>Data: __ Base Period _X_ Forecasted Period</v>
      </c>
    </row>
    <row r="115" spans="1:18" x14ac:dyDescent="0.2">
      <c r="A115" s="711" t="str">
        <f>$A$53</f>
        <v>Type of Filing: X Original _ Update _ Revised</v>
      </c>
      <c r="Q115" s="413" t="str">
        <f>$Q$53</f>
        <v>Schedule M-2.3</v>
      </c>
    </row>
    <row r="116" spans="1:18" x14ac:dyDescent="0.2">
      <c r="A116" s="711" t="str">
        <f>$A$54</f>
        <v>Work Paper Reference No(s):</v>
      </c>
      <c r="Q116" s="413" t="s">
        <v>498</v>
      </c>
    </row>
    <row r="117" spans="1:18" x14ac:dyDescent="0.2">
      <c r="A117" s="712" t="str">
        <f>$A$55</f>
        <v>12 Months Forecasted</v>
      </c>
      <c r="Q117" s="413" t="str">
        <f>Witness</f>
        <v>Witness:  M. J. Bell</v>
      </c>
    </row>
    <row r="118" spans="1:18" x14ac:dyDescent="0.2">
      <c r="A118" s="992" t="s">
        <v>293</v>
      </c>
      <c r="B118" s="992"/>
      <c r="C118" s="992"/>
      <c r="D118" s="992"/>
      <c r="E118" s="992"/>
      <c r="F118" s="992"/>
      <c r="G118" s="992"/>
      <c r="H118" s="992"/>
      <c r="I118" s="992"/>
      <c r="J118" s="992"/>
      <c r="K118" s="992"/>
      <c r="L118" s="992"/>
      <c r="M118" s="992"/>
      <c r="N118" s="992"/>
      <c r="O118" s="992"/>
      <c r="P118" s="992"/>
      <c r="Q118" s="992"/>
    </row>
    <row r="119" spans="1:18" x14ac:dyDescent="0.2">
      <c r="C119" s="455"/>
      <c r="G119" s="290"/>
      <c r="Q119" s="290"/>
    </row>
    <row r="120" spans="1:18" x14ac:dyDescent="0.2">
      <c r="A120" s="410" t="s">
        <v>1</v>
      </c>
      <c r="B120" s="224" t="s">
        <v>0</v>
      </c>
      <c r="C120" s="224" t="s">
        <v>41</v>
      </c>
      <c r="D120" s="416" t="s">
        <v>30</v>
      </c>
      <c r="E120" s="417"/>
      <c r="F120" s="418"/>
      <c r="G120" s="417"/>
      <c r="H120" s="419"/>
      <c r="I120" s="417"/>
      <c r="J120" s="417"/>
      <c r="K120" s="417"/>
      <c r="L120" s="417"/>
      <c r="M120" s="417"/>
      <c r="N120" s="417"/>
      <c r="O120" s="229"/>
      <c r="P120" s="229"/>
      <c r="Q120" s="229"/>
    </row>
    <row r="121" spans="1:18" x14ac:dyDescent="0.2">
      <c r="A121" s="281" t="s">
        <v>3</v>
      </c>
      <c r="B121" s="226" t="s">
        <v>40</v>
      </c>
      <c r="C121" s="226" t="s">
        <v>4</v>
      </c>
      <c r="D121" s="420" t="s">
        <v>48</v>
      </c>
      <c r="E121" s="421" t="str">
        <f>B!$D$11</f>
        <v>Jan-17</v>
      </c>
      <c r="F121" s="421" t="str">
        <f>B!$E$11</f>
        <v>Feb-17</v>
      </c>
      <c r="G121" s="421" t="str">
        <f>B!$F$11</f>
        <v>Mar-17</v>
      </c>
      <c r="H121" s="421" t="str">
        <f>B!$G$11</f>
        <v>Apr-17</v>
      </c>
      <c r="I121" s="421" t="str">
        <f>B!$H$11</f>
        <v>May-17</v>
      </c>
      <c r="J121" s="421" t="str">
        <f>B!$I$11</f>
        <v>Jun-17</v>
      </c>
      <c r="K121" s="421" t="str">
        <f>B!$J$11</f>
        <v>Jul-17</v>
      </c>
      <c r="L121" s="421" t="str">
        <f>B!$K$11</f>
        <v>Aug-17</v>
      </c>
      <c r="M121" s="421" t="str">
        <f>B!$L$11</f>
        <v>Sep-17</v>
      </c>
      <c r="N121" s="421" t="str">
        <f>B!$M$11</f>
        <v>Oct-17</v>
      </c>
      <c r="O121" s="421" t="str">
        <f>B!$N$11</f>
        <v>Nov-17</v>
      </c>
      <c r="P121" s="421" t="str">
        <f>B!$O$11</f>
        <v>Dec-17</v>
      </c>
      <c r="Q121" s="422" t="s">
        <v>9</v>
      </c>
    </row>
    <row r="122" spans="1:18" x14ac:dyDescent="0.2">
      <c r="A122" s="410"/>
      <c r="B122" s="229" t="s">
        <v>42</v>
      </c>
      <c r="C122" s="229" t="s">
        <v>43</v>
      </c>
      <c r="D122" s="423" t="s">
        <v>45</v>
      </c>
      <c r="E122" s="424" t="s">
        <v>46</v>
      </c>
      <c r="F122" s="424" t="s">
        <v>49</v>
      </c>
      <c r="G122" s="424" t="s">
        <v>50</v>
      </c>
      <c r="H122" s="424" t="s">
        <v>51</v>
      </c>
      <c r="I122" s="424" t="s">
        <v>52</v>
      </c>
      <c r="J122" s="425" t="s">
        <v>53</v>
      </c>
      <c r="K122" s="425" t="s">
        <v>54</v>
      </c>
      <c r="L122" s="425" t="s">
        <v>55</v>
      </c>
      <c r="M122" s="425" t="s">
        <v>56</v>
      </c>
      <c r="N122" s="425" t="s">
        <v>57</v>
      </c>
      <c r="O122" s="425" t="s">
        <v>58</v>
      </c>
      <c r="P122" s="425" t="s">
        <v>59</v>
      </c>
      <c r="Q122" s="425" t="s">
        <v>203</v>
      </c>
    </row>
    <row r="123" spans="1:18" x14ac:dyDescent="0.2">
      <c r="C123" s="455"/>
      <c r="G123" s="290"/>
      <c r="Q123" s="290"/>
    </row>
    <row r="124" spans="1:18" x14ac:dyDescent="0.2">
      <c r="A124" s="259">
        <v>1</v>
      </c>
      <c r="C124" s="438" t="s">
        <v>94</v>
      </c>
      <c r="G124" s="290"/>
      <c r="Q124" s="290"/>
    </row>
    <row r="125" spans="1:18" x14ac:dyDescent="0.2">
      <c r="C125" s="455"/>
      <c r="G125" s="290"/>
      <c r="Q125" s="290"/>
    </row>
    <row r="126" spans="1:18" x14ac:dyDescent="0.2">
      <c r="A126" s="259">
        <f>A124+1</f>
        <v>2</v>
      </c>
      <c r="B126" s="219" t="str">
        <f>Input!A26</f>
        <v>LG2</v>
      </c>
      <c r="C126" s="219" t="str">
        <f>'Sch M 2.1'!B25</f>
        <v xml:space="preserve">LG&amp;E Residential </v>
      </c>
      <c r="G126" s="290"/>
      <c r="Q126" s="290"/>
    </row>
    <row r="127" spans="1:18" x14ac:dyDescent="0.2">
      <c r="A127" s="259">
        <f>A126+1</f>
        <v>3</v>
      </c>
      <c r="C127" s="444" t="s">
        <v>219</v>
      </c>
      <c r="E127" s="240">
        <f t="shared" ref="E127:P127" si="47">E543</f>
        <v>1</v>
      </c>
      <c r="F127" s="240">
        <f t="shared" si="47"/>
        <v>1</v>
      </c>
      <c r="G127" s="240">
        <f t="shared" si="47"/>
        <v>1</v>
      </c>
      <c r="H127" s="240">
        <f t="shared" si="47"/>
        <v>1</v>
      </c>
      <c r="I127" s="240">
        <f t="shared" si="47"/>
        <v>1</v>
      </c>
      <c r="J127" s="240">
        <f t="shared" si="47"/>
        <v>1</v>
      </c>
      <c r="K127" s="240">
        <f t="shared" si="47"/>
        <v>1</v>
      </c>
      <c r="L127" s="240">
        <f t="shared" si="47"/>
        <v>1</v>
      </c>
      <c r="M127" s="240">
        <f t="shared" si="47"/>
        <v>1</v>
      </c>
      <c r="N127" s="240">
        <f t="shared" si="47"/>
        <v>1</v>
      </c>
      <c r="O127" s="240">
        <f t="shared" si="47"/>
        <v>1</v>
      </c>
      <c r="P127" s="240">
        <f t="shared" si="47"/>
        <v>1</v>
      </c>
      <c r="Q127" s="240">
        <f>SUM(E127:P127)</f>
        <v>12</v>
      </c>
    </row>
    <row r="128" spans="1:18" x14ac:dyDescent="0.2">
      <c r="A128" s="259">
        <f>A127+1</f>
        <v>4</v>
      </c>
      <c r="C128" s="444" t="s">
        <v>567</v>
      </c>
      <c r="E128" s="245">
        <f t="shared" ref="E128:P128" si="48">E546</f>
        <v>161.1</v>
      </c>
      <c r="F128" s="245">
        <f t="shared" si="48"/>
        <v>142.80000000000001</v>
      </c>
      <c r="G128" s="245">
        <f t="shared" si="48"/>
        <v>70.5</v>
      </c>
      <c r="H128" s="245">
        <f t="shared" si="48"/>
        <v>36.6</v>
      </c>
      <c r="I128" s="245">
        <f t="shared" si="48"/>
        <v>15.2</v>
      </c>
      <c r="J128" s="245">
        <f t="shared" si="48"/>
        <v>2.9</v>
      </c>
      <c r="K128" s="245">
        <f t="shared" si="48"/>
        <v>3.2</v>
      </c>
      <c r="L128" s="245">
        <f t="shared" si="48"/>
        <v>3.4</v>
      </c>
      <c r="M128" s="245">
        <f t="shared" si="48"/>
        <v>3.8</v>
      </c>
      <c r="N128" s="245">
        <f t="shared" si="48"/>
        <v>19</v>
      </c>
      <c r="O128" s="245">
        <f t="shared" si="48"/>
        <v>51.7</v>
      </c>
      <c r="P128" s="245">
        <f t="shared" si="48"/>
        <v>95</v>
      </c>
      <c r="Q128" s="245">
        <f>SUM(E128:P128)</f>
        <v>605.19999999999993</v>
      </c>
    </row>
    <row r="129" spans="1:17" x14ac:dyDescent="0.2">
      <c r="A129" s="259">
        <f>A128+1</f>
        <v>5</v>
      </c>
      <c r="C129" s="444" t="s">
        <v>221</v>
      </c>
      <c r="E129" s="427">
        <f t="shared" ref="E129:P129" si="49">E549</f>
        <v>56.39</v>
      </c>
      <c r="F129" s="427">
        <f t="shared" si="49"/>
        <v>49.98</v>
      </c>
      <c r="G129" s="427">
        <f t="shared" si="49"/>
        <v>24.68</v>
      </c>
      <c r="H129" s="427">
        <f t="shared" si="49"/>
        <v>12.81</v>
      </c>
      <c r="I129" s="427">
        <f t="shared" si="49"/>
        <v>5.32</v>
      </c>
      <c r="J129" s="427">
        <f t="shared" si="49"/>
        <v>1.02</v>
      </c>
      <c r="K129" s="427">
        <f t="shared" si="49"/>
        <v>1.1200000000000001</v>
      </c>
      <c r="L129" s="427">
        <f t="shared" si="49"/>
        <v>1.19</v>
      </c>
      <c r="M129" s="427">
        <f t="shared" si="49"/>
        <v>1.33</v>
      </c>
      <c r="N129" s="427">
        <f t="shared" si="49"/>
        <v>6.65</v>
      </c>
      <c r="O129" s="427">
        <f t="shared" si="49"/>
        <v>18.100000000000001</v>
      </c>
      <c r="P129" s="427">
        <f t="shared" si="49"/>
        <v>33.25</v>
      </c>
      <c r="Q129" s="427">
        <f>SUM(E129:P129)</f>
        <v>211.84000000000003</v>
      </c>
    </row>
    <row r="130" spans="1:17" x14ac:dyDescent="0.2">
      <c r="A130" s="259">
        <f>A129+1</f>
        <v>6</v>
      </c>
      <c r="C130" s="444" t="s">
        <v>222</v>
      </c>
      <c r="E130" s="427">
        <f t="shared" ref="E130:P130" si="50">E551</f>
        <v>0</v>
      </c>
      <c r="F130" s="427">
        <f t="shared" si="50"/>
        <v>0</v>
      </c>
      <c r="G130" s="427">
        <f t="shared" si="50"/>
        <v>0</v>
      </c>
      <c r="H130" s="427">
        <f t="shared" si="50"/>
        <v>0</v>
      </c>
      <c r="I130" s="427">
        <f t="shared" si="50"/>
        <v>0</v>
      </c>
      <c r="J130" s="427">
        <f t="shared" si="50"/>
        <v>0</v>
      </c>
      <c r="K130" s="427">
        <f t="shared" si="50"/>
        <v>0</v>
      </c>
      <c r="L130" s="427">
        <f t="shared" si="50"/>
        <v>0</v>
      </c>
      <c r="M130" s="427">
        <f t="shared" si="50"/>
        <v>0</v>
      </c>
      <c r="N130" s="427">
        <f t="shared" si="50"/>
        <v>0</v>
      </c>
      <c r="O130" s="427">
        <f t="shared" si="50"/>
        <v>0</v>
      </c>
      <c r="P130" s="427">
        <f t="shared" si="50"/>
        <v>0</v>
      </c>
      <c r="Q130" s="427">
        <f>SUM(E130:P130)</f>
        <v>0</v>
      </c>
    </row>
    <row r="131" spans="1:17" x14ac:dyDescent="0.2">
      <c r="A131" s="713">
        <f>A130+1</f>
        <v>7</v>
      </c>
      <c r="B131" s="447"/>
      <c r="C131" s="448" t="s">
        <v>568</v>
      </c>
      <c r="D131" s="449"/>
      <c r="E131" s="450">
        <f t="shared" ref="E131:P131" si="51">E553</f>
        <v>56.39</v>
      </c>
      <c r="F131" s="450">
        <f t="shared" si="51"/>
        <v>49.98</v>
      </c>
      <c r="G131" s="450">
        <f t="shared" si="51"/>
        <v>24.68</v>
      </c>
      <c r="H131" s="450">
        <f t="shared" si="51"/>
        <v>12.81</v>
      </c>
      <c r="I131" s="450">
        <f t="shared" si="51"/>
        <v>5.32</v>
      </c>
      <c r="J131" s="450">
        <f t="shared" si="51"/>
        <v>1.02</v>
      </c>
      <c r="K131" s="450">
        <f t="shared" si="51"/>
        <v>1.1200000000000001</v>
      </c>
      <c r="L131" s="450">
        <f t="shared" si="51"/>
        <v>1.19</v>
      </c>
      <c r="M131" s="450">
        <f t="shared" si="51"/>
        <v>1.33</v>
      </c>
      <c r="N131" s="450">
        <f t="shared" si="51"/>
        <v>6.65</v>
      </c>
      <c r="O131" s="450">
        <f t="shared" si="51"/>
        <v>18.100000000000001</v>
      </c>
      <c r="P131" s="450">
        <f t="shared" si="51"/>
        <v>33.25</v>
      </c>
      <c r="Q131" s="450">
        <f>SUM(E131:P131)</f>
        <v>211.84000000000003</v>
      </c>
    </row>
    <row r="132" spans="1:17" x14ac:dyDescent="0.2">
      <c r="C132" s="455"/>
      <c r="G132" s="290"/>
      <c r="Q132" s="290"/>
    </row>
    <row r="133" spans="1:17" x14ac:dyDescent="0.2">
      <c r="A133" s="259">
        <f>A131+1</f>
        <v>8</v>
      </c>
      <c r="B133" s="219" t="str">
        <f>Input!A27</f>
        <v>LG2</v>
      </c>
      <c r="C133" s="219" t="str">
        <f>'Sch M 2.1'!B26</f>
        <v>LG&amp;E Commercial</v>
      </c>
      <c r="G133" s="290"/>
      <c r="Q133" s="290"/>
    </row>
    <row r="134" spans="1:17" x14ac:dyDescent="0.2">
      <c r="A134" s="259">
        <f>A133+1</f>
        <v>9</v>
      </c>
      <c r="C134" s="444" t="s">
        <v>219</v>
      </c>
      <c r="E134" s="240">
        <f t="shared" ref="E134:P134" si="52">E560</f>
        <v>1</v>
      </c>
      <c r="F134" s="240">
        <f t="shared" si="52"/>
        <v>1</v>
      </c>
      <c r="G134" s="240">
        <f t="shared" si="52"/>
        <v>1</v>
      </c>
      <c r="H134" s="240">
        <f t="shared" si="52"/>
        <v>1</v>
      </c>
      <c r="I134" s="240">
        <f t="shared" si="52"/>
        <v>1</v>
      </c>
      <c r="J134" s="240">
        <f t="shared" si="52"/>
        <v>1</v>
      </c>
      <c r="K134" s="240">
        <f t="shared" si="52"/>
        <v>1</v>
      </c>
      <c r="L134" s="240">
        <f t="shared" si="52"/>
        <v>1</v>
      </c>
      <c r="M134" s="240">
        <f t="shared" si="52"/>
        <v>1</v>
      </c>
      <c r="N134" s="240">
        <f t="shared" si="52"/>
        <v>1</v>
      </c>
      <c r="O134" s="240">
        <f t="shared" si="52"/>
        <v>1</v>
      </c>
      <c r="P134" s="240">
        <f t="shared" si="52"/>
        <v>1</v>
      </c>
      <c r="Q134" s="240">
        <f>SUM(E134:P134)</f>
        <v>12</v>
      </c>
    </row>
    <row r="135" spans="1:17" x14ac:dyDescent="0.2">
      <c r="A135" s="259">
        <f>A134+1</f>
        <v>10</v>
      </c>
      <c r="C135" s="444" t="s">
        <v>567</v>
      </c>
      <c r="E135" s="245">
        <f t="shared" ref="E135:P135" si="53">E563</f>
        <v>191.8</v>
      </c>
      <c r="F135" s="245">
        <f t="shared" si="53"/>
        <v>167.7</v>
      </c>
      <c r="G135" s="245">
        <f t="shared" si="53"/>
        <v>88.3</v>
      </c>
      <c r="H135" s="245">
        <f t="shared" si="53"/>
        <v>54</v>
      </c>
      <c r="I135" s="245">
        <f t="shared" si="53"/>
        <v>20.2</v>
      </c>
      <c r="J135" s="245">
        <f t="shared" si="53"/>
        <v>7.6</v>
      </c>
      <c r="K135" s="245">
        <f t="shared" si="53"/>
        <v>7.9</v>
      </c>
      <c r="L135" s="245">
        <f t="shared" si="53"/>
        <v>6.8</v>
      </c>
      <c r="M135" s="245">
        <f t="shared" si="53"/>
        <v>6.6</v>
      </c>
      <c r="N135" s="245">
        <f t="shared" si="53"/>
        <v>14.8</v>
      </c>
      <c r="O135" s="245">
        <f t="shared" si="53"/>
        <v>41.5</v>
      </c>
      <c r="P135" s="245">
        <f t="shared" si="53"/>
        <v>103.7</v>
      </c>
      <c r="Q135" s="245">
        <f>SUM(E135:P135)</f>
        <v>710.9</v>
      </c>
    </row>
    <row r="136" spans="1:17" x14ac:dyDescent="0.2">
      <c r="A136" s="259">
        <f>A135+1</f>
        <v>11</v>
      </c>
      <c r="C136" s="444" t="s">
        <v>221</v>
      </c>
      <c r="E136" s="427">
        <f t="shared" ref="E136:P136" si="54">E566</f>
        <v>67.13</v>
      </c>
      <c r="F136" s="427">
        <f t="shared" si="54"/>
        <v>58.7</v>
      </c>
      <c r="G136" s="427">
        <f t="shared" si="54"/>
        <v>30.91</v>
      </c>
      <c r="H136" s="427">
        <f t="shared" si="54"/>
        <v>18.899999999999999</v>
      </c>
      <c r="I136" s="427">
        <f t="shared" si="54"/>
        <v>7.07</v>
      </c>
      <c r="J136" s="427">
        <f t="shared" si="54"/>
        <v>2.66</v>
      </c>
      <c r="K136" s="427">
        <f t="shared" si="54"/>
        <v>2.77</v>
      </c>
      <c r="L136" s="427">
        <f t="shared" si="54"/>
        <v>2.38</v>
      </c>
      <c r="M136" s="427">
        <f t="shared" si="54"/>
        <v>2.31</v>
      </c>
      <c r="N136" s="427">
        <f t="shared" si="54"/>
        <v>5.18</v>
      </c>
      <c r="O136" s="427">
        <f t="shared" si="54"/>
        <v>14.53</v>
      </c>
      <c r="P136" s="427">
        <f t="shared" si="54"/>
        <v>36.299999999999997</v>
      </c>
      <c r="Q136" s="427">
        <f>SUM(E136:P136)</f>
        <v>248.84000000000003</v>
      </c>
    </row>
    <row r="137" spans="1:17" x14ac:dyDescent="0.2">
      <c r="A137" s="259">
        <f>A136+1</f>
        <v>12</v>
      </c>
      <c r="C137" s="444" t="s">
        <v>222</v>
      </c>
      <c r="E137" s="427">
        <f t="shared" ref="E137:P137" si="55">E568</f>
        <v>0</v>
      </c>
      <c r="F137" s="427">
        <f t="shared" si="55"/>
        <v>0</v>
      </c>
      <c r="G137" s="427">
        <f t="shared" si="55"/>
        <v>0</v>
      </c>
      <c r="H137" s="427">
        <f t="shared" si="55"/>
        <v>0</v>
      </c>
      <c r="I137" s="427">
        <f t="shared" si="55"/>
        <v>0</v>
      </c>
      <c r="J137" s="427">
        <f t="shared" si="55"/>
        <v>0</v>
      </c>
      <c r="K137" s="427">
        <f t="shared" si="55"/>
        <v>0</v>
      </c>
      <c r="L137" s="427">
        <f t="shared" si="55"/>
        <v>0</v>
      </c>
      <c r="M137" s="427">
        <f t="shared" si="55"/>
        <v>0</v>
      </c>
      <c r="N137" s="427">
        <f t="shared" si="55"/>
        <v>0</v>
      </c>
      <c r="O137" s="427">
        <f t="shared" si="55"/>
        <v>0</v>
      </c>
      <c r="P137" s="427">
        <f t="shared" si="55"/>
        <v>0</v>
      </c>
      <c r="Q137" s="427">
        <f>SUM(E137:P137)</f>
        <v>0</v>
      </c>
    </row>
    <row r="138" spans="1:17" x14ac:dyDescent="0.2">
      <c r="A138" s="713">
        <f>A137+1</f>
        <v>13</v>
      </c>
      <c r="B138" s="447"/>
      <c r="C138" s="448" t="s">
        <v>568</v>
      </c>
      <c r="D138" s="449"/>
      <c r="E138" s="450">
        <f t="shared" ref="E138:P138" si="56">E570</f>
        <v>67.13</v>
      </c>
      <c r="F138" s="450">
        <f t="shared" si="56"/>
        <v>58.7</v>
      </c>
      <c r="G138" s="450">
        <f t="shared" si="56"/>
        <v>30.91</v>
      </c>
      <c r="H138" s="450">
        <f t="shared" si="56"/>
        <v>18.899999999999999</v>
      </c>
      <c r="I138" s="450">
        <f t="shared" si="56"/>
        <v>7.07</v>
      </c>
      <c r="J138" s="450">
        <f t="shared" si="56"/>
        <v>2.66</v>
      </c>
      <c r="K138" s="450">
        <f t="shared" si="56"/>
        <v>2.77</v>
      </c>
      <c r="L138" s="450">
        <f t="shared" si="56"/>
        <v>2.38</v>
      </c>
      <c r="M138" s="450">
        <f t="shared" si="56"/>
        <v>2.31</v>
      </c>
      <c r="N138" s="450">
        <f t="shared" si="56"/>
        <v>5.18</v>
      </c>
      <c r="O138" s="450">
        <f t="shared" si="56"/>
        <v>14.53</v>
      </c>
      <c r="P138" s="450">
        <f t="shared" si="56"/>
        <v>36.299999999999997</v>
      </c>
      <c r="Q138" s="450">
        <f>SUM(E138:P138)</f>
        <v>248.84000000000003</v>
      </c>
    </row>
    <row r="139" spans="1:17" x14ac:dyDescent="0.2">
      <c r="A139" s="615"/>
      <c r="B139" s="301"/>
      <c r="C139" s="455"/>
      <c r="D139" s="300"/>
      <c r="E139" s="415"/>
      <c r="F139" s="415"/>
      <c r="G139" s="415"/>
      <c r="H139" s="415"/>
      <c r="I139" s="415"/>
      <c r="J139" s="415"/>
      <c r="K139" s="415"/>
      <c r="L139" s="415"/>
      <c r="M139" s="415"/>
      <c r="N139" s="415"/>
      <c r="O139" s="415"/>
      <c r="P139" s="415"/>
      <c r="Q139" s="415"/>
    </row>
    <row r="140" spans="1:17" x14ac:dyDescent="0.2">
      <c r="A140" s="259">
        <f>A124+1</f>
        <v>2</v>
      </c>
      <c r="B140" s="219" t="str">
        <f>Input!A28</f>
        <v>LG3</v>
      </c>
      <c r="C140" s="219" t="str">
        <f>'Sch M 2.1'!B27</f>
        <v>LG&amp;E Residential</v>
      </c>
      <c r="G140" s="290"/>
      <c r="Q140" s="290"/>
    </row>
    <row r="141" spans="1:17" x14ac:dyDescent="0.2">
      <c r="A141" s="259">
        <f>A140+1</f>
        <v>3</v>
      </c>
      <c r="C141" s="444" t="s">
        <v>219</v>
      </c>
      <c r="E141" s="240">
        <f t="shared" ref="E141:P141" si="57">E593</f>
        <v>1</v>
      </c>
      <c r="F141" s="240">
        <f t="shared" si="57"/>
        <v>1</v>
      </c>
      <c r="G141" s="240">
        <f t="shared" si="57"/>
        <v>1</v>
      </c>
      <c r="H141" s="240">
        <f t="shared" si="57"/>
        <v>1</v>
      </c>
      <c r="I141" s="240">
        <f t="shared" si="57"/>
        <v>1</v>
      </c>
      <c r="J141" s="240">
        <f t="shared" si="57"/>
        <v>1</v>
      </c>
      <c r="K141" s="240">
        <f t="shared" si="57"/>
        <v>1</v>
      </c>
      <c r="L141" s="240">
        <f t="shared" si="57"/>
        <v>1</v>
      </c>
      <c r="M141" s="240">
        <f t="shared" si="57"/>
        <v>1</v>
      </c>
      <c r="N141" s="240">
        <f t="shared" si="57"/>
        <v>1</v>
      </c>
      <c r="O141" s="240">
        <f t="shared" si="57"/>
        <v>1</v>
      </c>
      <c r="P141" s="240">
        <f t="shared" si="57"/>
        <v>1</v>
      </c>
      <c r="Q141" s="240">
        <f>SUM(E141:P141)</f>
        <v>12</v>
      </c>
    </row>
    <row r="142" spans="1:17" x14ac:dyDescent="0.2">
      <c r="A142" s="259">
        <f>A141+1</f>
        <v>4</v>
      </c>
      <c r="C142" s="444" t="s">
        <v>567</v>
      </c>
      <c r="E142" s="245">
        <f t="shared" ref="E142:P142" si="58">E599</f>
        <v>91.8</v>
      </c>
      <c r="F142" s="245">
        <f t="shared" si="58"/>
        <v>73.400000000000006</v>
      </c>
      <c r="G142" s="245">
        <f t="shared" si="58"/>
        <v>45.4</v>
      </c>
      <c r="H142" s="245">
        <f t="shared" si="58"/>
        <v>104.5</v>
      </c>
      <c r="I142" s="245">
        <f t="shared" si="58"/>
        <v>67.400000000000006</v>
      </c>
      <c r="J142" s="245">
        <f t="shared" si="58"/>
        <v>26.5</v>
      </c>
      <c r="K142" s="245">
        <f t="shared" si="58"/>
        <v>26.2</v>
      </c>
      <c r="L142" s="245">
        <f t="shared" si="58"/>
        <v>11.8</v>
      </c>
      <c r="M142" s="245">
        <f t="shared" si="58"/>
        <v>26.2</v>
      </c>
      <c r="N142" s="245">
        <f t="shared" si="58"/>
        <v>75.900000000000006</v>
      </c>
      <c r="O142" s="245">
        <f t="shared" si="58"/>
        <v>105.5</v>
      </c>
      <c r="P142" s="245">
        <f t="shared" si="58"/>
        <v>59.5</v>
      </c>
      <c r="Q142" s="245">
        <f>SUM(E142:P142)</f>
        <v>714.1</v>
      </c>
    </row>
    <row r="143" spans="1:17" x14ac:dyDescent="0.2">
      <c r="A143" s="259">
        <f>A142+1</f>
        <v>5</v>
      </c>
      <c r="C143" s="444" t="s">
        <v>221</v>
      </c>
      <c r="E143" s="427">
        <f t="shared" ref="E143:P143" si="59">E605</f>
        <v>32.630000000000003</v>
      </c>
      <c r="F143" s="427">
        <f t="shared" si="59"/>
        <v>26.189999999999998</v>
      </c>
      <c r="G143" s="427">
        <f t="shared" si="59"/>
        <v>16.39</v>
      </c>
      <c r="H143" s="427">
        <f t="shared" si="59"/>
        <v>37.080000000000005</v>
      </c>
      <c r="I143" s="427">
        <f t="shared" si="59"/>
        <v>24.09</v>
      </c>
      <c r="J143" s="427">
        <f t="shared" si="59"/>
        <v>9.6399999999999988</v>
      </c>
      <c r="K143" s="427">
        <f t="shared" si="59"/>
        <v>9.67</v>
      </c>
      <c r="L143" s="427">
        <f t="shared" si="59"/>
        <v>4.63</v>
      </c>
      <c r="M143" s="427">
        <f t="shared" si="59"/>
        <v>9.67</v>
      </c>
      <c r="N143" s="427">
        <f t="shared" si="59"/>
        <v>27.07</v>
      </c>
      <c r="O143" s="427">
        <f t="shared" si="59"/>
        <v>37.43</v>
      </c>
      <c r="P143" s="427">
        <f t="shared" si="59"/>
        <v>21.33</v>
      </c>
      <c r="Q143" s="427">
        <f>SUM(E143:P143)</f>
        <v>255.82</v>
      </c>
    </row>
    <row r="144" spans="1:17" x14ac:dyDescent="0.2">
      <c r="A144" s="259">
        <f>A143+1</f>
        <v>6</v>
      </c>
      <c r="C144" s="444" t="s">
        <v>222</v>
      </c>
      <c r="E144" s="427">
        <f t="shared" ref="E144:P144" si="60">E607</f>
        <v>0</v>
      </c>
      <c r="F144" s="427">
        <f t="shared" si="60"/>
        <v>0</v>
      </c>
      <c r="G144" s="427">
        <f t="shared" si="60"/>
        <v>0</v>
      </c>
      <c r="H144" s="427">
        <f t="shared" si="60"/>
        <v>0</v>
      </c>
      <c r="I144" s="427">
        <f t="shared" si="60"/>
        <v>0</v>
      </c>
      <c r="J144" s="427">
        <f t="shared" si="60"/>
        <v>0</v>
      </c>
      <c r="K144" s="427">
        <f t="shared" si="60"/>
        <v>0</v>
      </c>
      <c r="L144" s="427">
        <f t="shared" si="60"/>
        <v>0</v>
      </c>
      <c r="M144" s="427">
        <f t="shared" si="60"/>
        <v>0</v>
      </c>
      <c r="N144" s="427">
        <f t="shared" si="60"/>
        <v>0</v>
      </c>
      <c r="O144" s="427">
        <f t="shared" si="60"/>
        <v>0</v>
      </c>
      <c r="P144" s="427">
        <f t="shared" si="60"/>
        <v>0</v>
      </c>
      <c r="Q144" s="427">
        <f>SUM(E144:P144)</f>
        <v>0</v>
      </c>
    </row>
    <row r="145" spans="1:17" x14ac:dyDescent="0.2">
      <c r="A145" s="713">
        <f>A144+1</f>
        <v>7</v>
      </c>
      <c r="B145" s="447"/>
      <c r="C145" s="448" t="s">
        <v>568</v>
      </c>
      <c r="D145" s="449"/>
      <c r="E145" s="450">
        <f t="shared" ref="E145:P145" si="61">E609</f>
        <v>32.630000000000003</v>
      </c>
      <c r="F145" s="450">
        <f t="shared" si="61"/>
        <v>26.189999999999998</v>
      </c>
      <c r="G145" s="450">
        <f t="shared" si="61"/>
        <v>16.39</v>
      </c>
      <c r="H145" s="450">
        <f t="shared" si="61"/>
        <v>37.080000000000005</v>
      </c>
      <c r="I145" s="450">
        <f t="shared" si="61"/>
        <v>24.09</v>
      </c>
      <c r="J145" s="450">
        <f t="shared" si="61"/>
        <v>9.6399999999999988</v>
      </c>
      <c r="K145" s="450">
        <f t="shared" si="61"/>
        <v>9.67</v>
      </c>
      <c r="L145" s="450">
        <f t="shared" si="61"/>
        <v>4.63</v>
      </c>
      <c r="M145" s="450">
        <f t="shared" si="61"/>
        <v>9.67</v>
      </c>
      <c r="N145" s="450">
        <f t="shared" si="61"/>
        <v>27.07</v>
      </c>
      <c r="O145" s="450">
        <f t="shared" si="61"/>
        <v>37.43</v>
      </c>
      <c r="P145" s="450">
        <f t="shared" si="61"/>
        <v>21.33</v>
      </c>
      <c r="Q145" s="450">
        <f>SUM(E145:P145)</f>
        <v>255.82</v>
      </c>
    </row>
    <row r="146" spans="1:17" x14ac:dyDescent="0.2">
      <c r="G146" s="290"/>
      <c r="Q146" s="290"/>
    </row>
    <row r="147" spans="1:17" x14ac:dyDescent="0.2">
      <c r="A147" s="259">
        <f>A145+1</f>
        <v>8</v>
      </c>
      <c r="B147" s="219" t="str">
        <f>Input!A29</f>
        <v>LG4</v>
      </c>
      <c r="C147" s="219" t="str">
        <f>'Sch M 2.1'!B28</f>
        <v>LG&amp;E Residential</v>
      </c>
      <c r="G147" s="290"/>
      <c r="Q147" s="290"/>
    </row>
    <row r="148" spans="1:17" x14ac:dyDescent="0.2">
      <c r="A148" s="259">
        <f>A147+1</f>
        <v>9</v>
      </c>
      <c r="C148" s="444" t="s">
        <v>219</v>
      </c>
      <c r="E148" s="240">
        <f t="shared" ref="E148:P148" si="62">E615</f>
        <v>1</v>
      </c>
      <c r="F148" s="240">
        <f t="shared" si="62"/>
        <v>1</v>
      </c>
      <c r="G148" s="240">
        <f t="shared" si="62"/>
        <v>1</v>
      </c>
      <c r="H148" s="240">
        <f t="shared" si="62"/>
        <v>1</v>
      </c>
      <c r="I148" s="240">
        <f t="shared" si="62"/>
        <v>1</v>
      </c>
      <c r="J148" s="240">
        <f t="shared" si="62"/>
        <v>1</v>
      </c>
      <c r="K148" s="240">
        <f t="shared" si="62"/>
        <v>1</v>
      </c>
      <c r="L148" s="240">
        <f t="shared" si="62"/>
        <v>1</v>
      </c>
      <c r="M148" s="240">
        <f t="shared" si="62"/>
        <v>1</v>
      </c>
      <c r="N148" s="240">
        <f t="shared" si="62"/>
        <v>1</v>
      </c>
      <c r="O148" s="240">
        <f t="shared" si="62"/>
        <v>1</v>
      </c>
      <c r="P148" s="240">
        <f t="shared" si="62"/>
        <v>1</v>
      </c>
      <c r="Q148" s="240">
        <f>SUM(E148:P148)</f>
        <v>12</v>
      </c>
    </row>
    <row r="149" spans="1:17" x14ac:dyDescent="0.2">
      <c r="A149" s="259">
        <f>A148+1</f>
        <v>10</v>
      </c>
      <c r="C149" s="444" t="s">
        <v>567</v>
      </c>
      <c r="E149" s="245">
        <f t="shared" ref="E149:P149" si="63">E618</f>
        <v>49.5</v>
      </c>
      <c r="F149" s="245">
        <f t="shared" si="63"/>
        <v>58.7</v>
      </c>
      <c r="G149" s="245">
        <f t="shared" si="63"/>
        <v>42</v>
      </c>
      <c r="H149" s="245">
        <f t="shared" si="63"/>
        <v>20.7</v>
      </c>
      <c r="I149" s="245">
        <f t="shared" si="63"/>
        <v>11.2</v>
      </c>
      <c r="J149" s="245">
        <f t="shared" si="63"/>
        <v>4</v>
      </c>
      <c r="K149" s="245">
        <f t="shared" si="63"/>
        <v>2.6</v>
      </c>
      <c r="L149" s="245">
        <f t="shared" si="63"/>
        <v>2.8</v>
      </c>
      <c r="M149" s="245">
        <f t="shared" si="63"/>
        <v>3</v>
      </c>
      <c r="N149" s="245">
        <f t="shared" si="63"/>
        <v>3.9</v>
      </c>
      <c r="O149" s="245">
        <f t="shared" si="63"/>
        <v>18.899999999999999</v>
      </c>
      <c r="P149" s="245">
        <f t="shared" si="63"/>
        <v>40.299999999999997</v>
      </c>
      <c r="Q149" s="245">
        <f>SUM(E149:P149)</f>
        <v>257.59999999999997</v>
      </c>
    </row>
    <row r="150" spans="1:17" x14ac:dyDescent="0.2">
      <c r="A150" s="259">
        <f>A149+1</f>
        <v>11</v>
      </c>
      <c r="C150" s="444" t="s">
        <v>221</v>
      </c>
      <c r="E150" s="427">
        <f t="shared" ref="E150:P150" si="64">E621</f>
        <v>19.8</v>
      </c>
      <c r="F150" s="427">
        <f t="shared" si="64"/>
        <v>23.48</v>
      </c>
      <c r="G150" s="427">
        <f t="shared" si="64"/>
        <v>16.8</v>
      </c>
      <c r="H150" s="427">
        <f t="shared" si="64"/>
        <v>8.2799999999999994</v>
      </c>
      <c r="I150" s="427">
        <f t="shared" si="64"/>
        <v>4.4800000000000004</v>
      </c>
      <c r="J150" s="427">
        <f t="shared" si="64"/>
        <v>1.6</v>
      </c>
      <c r="K150" s="427">
        <f t="shared" si="64"/>
        <v>1.04</v>
      </c>
      <c r="L150" s="427">
        <f t="shared" si="64"/>
        <v>1.1200000000000001</v>
      </c>
      <c r="M150" s="427">
        <f t="shared" si="64"/>
        <v>1.2</v>
      </c>
      <c r="N150" s="427">
        <f t="shared" si="64"/>
        <v>1.56</v>
      </c>
      <c r="O150" s="427">
        <f t="shared" si="64"/>
        <v>7.56</v>
      </c>
      <c r="P150" s="427">
        <f t="shared" si="64"/>
        <v>16.12</v>
      </c>
      <c r="Q150" s="427">
        <f>SUM(E150:P150)</f>
        <v>103.04000000000002</v>
      </c>
    </row>
    <row r="151" spans="1:17" x14ac:dyDescent="0.2">
      <c r="A151" s="259">
        <f>A150+1</f>
        <v>12</v>
      </c>
      <c r="C151" s="444" t="s">
        <v>222</v>
      </c>
      <c r="E151" s="427">
        <f t="shared" ref="E151:P151" si="65">E623</f>
        <v>0</v>
      </c>
      <c r="F151" s="427">
        <f t="shared" si="65"/>
        <v>0</v>
      </c>
      <c r="G151" s="427">
        <f t="shared" si="65"/>
        <v>0</v>
      </c>
      <c r="H151" s="427">
        <f t="shared" si="65"/>
        <v>0</v>
      </c>
      <c r="I151" s="427">
        <f t="shared" si="65"/>
        <v>0</v>
      </c>
      <c r="J151" s="427">
        <f t="shared" si="65"/>
        <v>0</v>
      </c>
      <c r="K151" s="427">
        <f t="shared" si="65"/>
        <v>0</v>
      </c>
      <c r="L151" s="427">
        <f t="shared" si="65"/>
        <v>0</v>
      </c>
      <c r="M151" s="427">
        <f t="shared" si="65"/>
        <v>0</v>
      </c>
      <c r="N151" s="427">
        <f t="shared" si="65"/>
        <v>0</v>
      </c>
      <c r="O151" s="427">
        <f t="shared" si="65"/>
        <v>0</v>
      </c>
      <c r="P151" s="427">
        <f t="shared" si="65"/>
        <v>0</v>
      </c>
      <c r="Q151" s="427">
        <f>SUM(E151:P151)</f>
        <v>0</v>
      </c>
    </row>
    <row r="152" spans="1:17" x14ac:dyDescent="0.2">
      <c r="A152" s="713">
        <f>A151+1</f>
        <v>13</v>
      </c>
      <c r="B152" s="447"/>
      <c r="C152" s="448" t="s">
        <v>568</v>
      </c>
      <c r="D152" s="449"/>
      <c r="E152" s="450">
        <f t="shared" ref="E152:P152" si="66">E625</f>
        <v>19.8</v>
      </c>
      <c r="F152" s="450">
        <f t="shared" si="66"/>
        <v>23.48</v>
      </c>
      <c r="G152" s="450">
        <f t="shared" si="66"/>
        <v>16.8</v>
      </c>
      <c r="H152" s="450">
        <f t="shared" si="66"/>
        <v>8.2799999999999994</v>
      </c>
      <c r="I152" s="450">
        <f t="shared" si="66"/>
        <v>4.4800000000000004</v>
      </c>
      <c r="J152" s="450">
        <f t="shared" si="66"/>
        <v>1.6</v>
      </c>
      <c r="K152" s="450">
        <f t="shared" si="66"/>
        <v>1.04</v>
      </c>
      <c r="L152" s="450">
        <f t="shared" si="66"/>
        <v>1.1200000000000001</v>
      </c>
      <c r="M152" s="450">
        <f t="shared" si="66"/>
        <v>1.2</v>
      </c>
      <c r="N152" s="450">
        <f t="shared" si="66"/>
        <v>1.56</v>
      </c>
      <c r="O152" s="450">
        <f t="shared" si="66"/>
        <v>7.56</v>
      </c>
      <c r="P152" s="450">
        <f t="shared" si="66"/>
        <v>16.12</v>
      </c>
      <c r="Q152" s="450">
        <f>SUM(E152:P152)</f>
        <v>103.04000000000002</v>
      </c>
    </row>
    <row r="153" spans="1:17" x14ac:dyDescent="0.2">
      <c r="C153" s="455"/>
      <c r="G153" s="290"/>
      <c r="Q153" s="290"/>
    </row>
    <row r="154" spans="1:17" x14ac:dyDescent="0.2">
      <c r="A154" s="259">
        <f>A152+1</f>
        <v>14</v>
      </c>
      <c r="B154" s="219" t="str">
        <f>Input!A30</f>
        <v>GSO</v>
      </c>
      <c r="C154" s="219" t="str">
        <f>'Sch M 2.1'!B29</f>
        <v>General Service - Commercial</v>
      </c>
      <c r="G154" s="290"/>
      <c r="Q154" s="290"/>
    </row>
    <row r="155" spans="1:17" x14ac:dyDescent="0.2">
      <c r="A155" s="259">
        <f>A154+1</f>
        <v>15</v>
      </c>
      <c r="C155" s="444" t="s">
        <v>219</v>
      </c>
      <c r="E155" s="240">
        <f t="shared" ref="E155:P155" si="67">E648</f>
        <v>10207</v>
      </c>
      <c r="F155" s="240">
        <f t="shared" si="67"/>
        <v>10271</v>
      </c>
      <c r="G155" s="240">
        <f t="shared" si="67"/>
        <v>10035</v>
      </c>
      <c r="H155" s="240">
        <f t="shared" si="67"/>
        <v>10003</v>
      </c>
      <c r="I155" s="240">
        <f t="shared" si="67"/>
        <v>9882</v>
      </c>
      <c r="J155" s="240">
        <f t="shared" si="67"/>
        <v>9780</v>
      </c>
      <c r="K155" s="240">
        <f t="shared" si="67"/>
        <v>9783</v>
      </c>
      <c r="L155" s="240">
        <f t="shared" si="67"/>
        <v>9770</v>
      </c>
      <c r="M155" s="240">
        <f t="shared" si="67"/>
        <v>9739</v>
      </c>
      <c r="N155" s="240">
        <f t="shared" si="67"/>
        <v>9772</v>
      </c>
      <c r="O155" s="240">
        <f t="shared" si="67"/>
        <v>9915</v>
      </c>
      <c r="P155" s="240">
        <f t="shared" si="67"/>
        <v>10076</v>
      </c>
      <c r="Q155" s="240">
        <f>SUM(E155:P155)</f>
        <v>119233</v>
      </c>
    </row>
    <row r="156" spans="1:17" x14ac:dyDescent="0.2">
      <c r="A156" s="259">
        <f>A155+1</f>
        <v>16</v>
      </c>
      <c r="C156" s="444" t="s">
        <v>567</v>
      </c>
      <c r="E156" s="245">
        <f t="shared" ref="E156:P156" si="68">E657</f>
        <v>660740</v>
      </c>
      <c r="F156" s="245">
        <f t="shared" si="68"/>
        <v>655060.9</v>
      </c>
      <c r="G156" s="245">
        <f t="shared" si="68"/>
        <v>456847.5</v>
      </c>
      <c r="H156" s="245">
        <f t="shared" si="68"/>
        <v>277301.89999999997</v>
      </c>
      <c r="I156" s="245">
        <f t="shared" si="68"/>
        <v>134480.19999999998</v>
      </c>
      <c r="J156" s="245">
        <f t="shared" si="68"/>
        <v>80718.299999999988</v>
      </c>
      <c r="K156" s="245">
        <f t="shared" si="68"/>
        <v>56728.5</v>
      </c>
      <c r="L156" s="245">
        <f t="shared" si="68"/>
        <v>52785.7</v>
      </c>
      <c r="M156" s="245">
        <f t="shared" si="68"/>
        <v>51801.2</v>
      </c>
      <c r="N156" s="245">
        <f t="shared" si="68"/>
        <v>77144.100000000006</v>
      </c>
      <c r="O156" s="245">
        <f t="shared" si="68"/>
        <v>171035.9</v>
      </c>
      <c r="P156" s="245">
        <f t="shared" si="68"/>
        <v>423570.9</v>
      </c>
      <c r="Q156" s="245">
        <f>SUM(E156:P156)</f>
        <v>3098215.1</v>
      </c>
    </row>
    <row r="157" spans="1:17" x14ac:dyDescent="0.2">
      <c r="A157" s="259">
        <f>A156+1</f>
        <v>17</v>
      </c>
      <c r="C157" s="444" t="s">
        <v>221</v>
      </c>
      <c r="E157" s="427">
        <f>E665+E672</f>
        <v>2188126.6800000002</v>
      </c>
      <c r="F157" s="427">
        <f t="shared" ref="F157:P157" si="69">F665+F672</f>
        <v>2187427.79</v>
      </c>
      <c r="G157" s="427">
        <f t="shared" si="69"/>
        <v>1681166.75</v>
      </c>
      <c r="H157" s="427">
        <f t="shared" si="69"/>
        <v>1203958.1800000002</v>
      </c>
      <c r="I157" s="427">
        <f t="shared" si="69"/>
        <v>811671.64999999991</v>
      </c>
      <c r="J157" s="427">
        <f t="shared" si="69"/>
        <v>661584.91</v>
      </c>
      <c r="K157" s="427">
        <f t="shared" si="69"/>
        <v>597865.90999999992</v>
      </c>
      <c r="L157" s="427">
        <f t="shared" si="69"/>
        <v>586563.17000000004</v>
      </c>
      <c r="M157" s="427">
        <f t="shared" si="69"/>
        <v>582902.57999999996</v>
      </c>
      <c r="N157" s="427">
        <f t="shared" si="69"/>
        <v>653565.15999999992</v>
      </c>
      <c r="O157" s="427">
        <f t="shared" si="69"/>
        <v>913801.85</v>
      </c>
      <c r="P157" s="427">
        <f t="shared" si="69"/>
        <v>1581284.04</v>
      </c>
      <c r="Q157" s="427">
        <f>SUM(E157:P157)</f>
        <v>13649918.670000002</v>
      </c>
    </row>
    <row r="158" spans="1:17" x14ac:dyDescent="0.2">
      <c r="A158" s="259">
        <f>A157+1</f>
        <v>18</v>
      </c>
      <c r="C158" s="444" t="s">
        <v>222</v>
      </c>
      <c r="E158" s="427">
        <f t="shared" ref="E158:P158" si="70">E667</f>
        <v>1459640.73</v>
      </c>
      <c r="F158" s="427">
        <f t="shared" si="70"/>
        <v>1447095.03</v>
      </c>
      <c r="G158" s="427">
        <f t="shared" si="70"/>
        <v>1009221.81</v>
      </c>
      <c r="H158" s="427">
        <f t="shared" si="70"/>
        <v>612587.63</v>
      </c>
      <c r="I158" s="427">
        <f t="shared" si="70"/>
        <v>297080.21000000002</v>
      </c>
      <c r="J158" s="427">
        <f t="shared" si="70"/>
        <v>178314.8</v>
      </c>
      <c r="K158" s="427">
        <f t="shared" si="70"/>
        <v>125318.93</v>
      </c>
      <c r="L158" s="427">
        <f t="shared" si="70"/>
        <v>116608.89</v>
      </c>
      <c r="M158" s="427">
        <f t="shared" si="70"/>
        <v>114434.03</v>
      </c>
      <c r="N158" s="427">
        <f t="shared" si="70"/>
        <v>170419.03</v>
      </c>
      <c r="O158" s="427">
        <f t="shared" si="70"/>
        <v>377835.41</v>
      </c>
      <c r="P158" s="427">
        <f t="shared" si="70"/>
        <v>935710.48</v>
      </c>
      <c r="Q158" s="427">
        <f>SUM(E158:P158)</f>
        <v>6844266.9800000004</v>
      </c>
    </row>
    <row r="159" spans="1:17" x14ac:dyDescent="0.2">
      <c r="A159" s="713">
        <f>A158+1</f>
        <v>19</v>
      </c>
      <c r="B159" s="447"/>
      <c r="C159" s="448" t="s">
        <v>568</v>
      </c>
      <c r="D159" s="449"/>
      <c r="E159" s="450">
        <f t="shared" ref="E159:P159" si="71">E674</f>
        <v>3647767.41</v>
      </c>
      <c r="F159" s="450">
        <f t="shared" si="71"/>
        <v>3634522.8200000003</v>
      </c>
      <c r="G159" s="450">
        <f t="shared" si="71"/>
        <v>2690388.56</v>
      </c>
      <c r="H159" s="450">
        <f t="shared" si="71"/>
        <v>1816545.81</v>
      </c>
      <c r="I159" s="450">
        <f t="shared" si="71"/>
        <v>1108751.8599999999</v>
      </c>
      <c r="J159" s="450">
        <f t="shared" si="71"/>
        <v>839899.71000000008</v>
      </c>
      <c r="K159" s="450">
        <f t="shared" si="71"/>
        <v>723184.83999999985</v>
      </c>
      <c r="L159" s="450">
        <f t="shared" si="71"/>
        <v>703172.06</v>
      </c>
      <c r="M159" s="450">
        <f t="shared" si="71"/>
        <v>697336.61</v>
      </c>
      <c r="N159" s="450">
        <f t="shared" si="71"/>
        <v>823984.19</v>
      </c>
      <c r="O159" s="450">
        <f t="shared" si="71"/>
        <v>1291637.2599999998</v>
      </c>
      <c r="P159" s="450">
        <f t="shared" si="71"/>
        <v>2516994.5199999996</v>
      </c>
      <c r="Q159" s="450">
        <f>SUM(E159:P159)</f>
        <v>20494185.650000002</v>
      </c>
    </row>
    <row r="160" spans="1:17" x14ac:dyDescent="0.2">
      <c r="G160" s="290"/>
      <c r="Q160" s="290"/>
    </row>
    <row r="161" spans="1:17" x14ac:dyDescent="0.2">
      <c r="A161" s="219"/>
      <c r="D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</row>
    <row r="162" spans="1:17" x14ac:dyDescent="0.2">
      <c r="A162" s="622" t="str">
        <f>$A$107</f>
        <v>[1] Reflects Normalized Volumes.</v>
      </c>
      <c r="D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</row>
    <row r="163" spans="1:17" x14ac:dyDescent="0.2">
      <c r="A163" s="622" t="str">
        <f>$A$108</f>
        <v>[2] See Schedule M-2.2 Pages 8 through 21 for detail.</v>
      </c>
      <c r="D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</row>
    <row r="164" spans="1:17" x14ac:dyDescent="0.2">
      <c r="A164" s="993" t="str">
        <f>CONAME</f>
        <v>Columbia Gas of Kentucky, Inc.</v>
      </c>
      <c r="B164" s="993"/>
      <c r="C164" s="993"/>
      <c r="D164" s="993"/>
      <c r="E164" s="993"/>
      <c r="F164" s="993"/>
      <c r="G164" s="993"/>
      <c r="H164" s="993"/>
      <c r="I164" s="993"/>
      <c r="J164" s="993"/>
      <c r="K164" s="993"/>
      <c r="L164" s="993"/>
      <c r="M164" s="993"/>
      <c r="N164" s="993"/>
      <c r="O164" s="993"/>
      <c r="P164" s="993"/>
      <c r="Q164" s="993"/>
    </row>
    <row r="165" spans="1:17" x14ac:dyDescent="0.2">
      <c r="A165" s="981" t="str">
        <f>case</f>
        <v>Case No. 2016-00162</v>
      </c>
      <c r="B165" s="981"/>
      <c r="C165" s="981"/>
      <c r="D165" s="981"/>
      <c r="E165" s="981"/>
      <c r="F165" s="981"/>
      <c r="G165" s="981"/>
      <c r="H165" s="981"/>
      <c r="I165" s="981"/>
      <c r="J165" s="981"/>
      <c r="K165" s="981"/>
      <c r="L165" s="981"/>
      <c r="M165" s="981"/>
      <c r="N165" s="981"/>
      <c r="O165" s="981"/>
      <c r="P165" s="981"/>
      <c r="Q165" s="981"/>
    </row>
    <row r="166" spans="1:17" x14ac:dyDescent="0.2">
      <c r="A166" s="994" t="s">
        <v>200</v>
      </c>
      <c r="B166" s="994"/>
      <c r="C166" s="994"/>
      <c r="D166" s="994"/>
      <c r="E166" s="994"/>
      <c r="F166" s="994"/>
      <c r="G166" s="994"/>
      <c r="H166" s="994"/>
      <c r="I166" s="994"/>
      <c r="J166" s="994"/>
      <c r="K166" s="994"/>
      <c r="L166" s="994"/>
      <c r="M166" s="994"/>
      <c r="N166" s="994"/>
      <c r="O166" s="994"/>
      <c r="P166" s="994"/>
      <c r="Q166" s="994"/>
    </row>
    <row r="167" spans="1:17" x14ac:dyDescent="0.2">
      <c r="A167" s="993" t="str">
        <f>TYDESC</f>
        <v>For the 12 Months Ended December 31, 2017</v>
      </c>
      <c r="B167" s="993"/>
      <c r="C167" s="993"/>
      <c r="D167" s="993"/>
      <c r="E167" s="993"/>
      <c r="F167" s="993"/>
      <c r="G167" s="993"/>
      <c r="H167" s="993"/>
      <c r="I167" s="993"/>
      <c r="J167" s="993"/>
      <c r="K167" s="993"/>
      <c r="L167" s="993"/>
      <c r="M167" s="993"/>
      <c r="N167" s="993"/>
      <c r="O167" s="993"/>
      <c r="P167" s="993"/>
      <c r="Q167" s="993"/>
    </row>
    <row r="168" spans="1:17" x14ac:dyDescent="0.2">
      <c r="A168" s="991" t="s">
        <v>39</v>
      </c>
      <c r="B168" s="991"/>
      <c r="C168" s="991"/>
      <c r="D168" s="991"/>
      <c r="E168" s="991"/>
      <c r="F168" s="991"/>
      <c r="G168" s="991"/>
      <c r="H168" s="991"/>
      <c r="I168" s="991"/>
      <c r="J168" s="991"/>
      <c r="K168" s="991"/>
      <c r="L168" s="991"/>
      <c r="M168" s="991"/>
      <c r="N168" s="991"/>
      <c r="O168" s="991"/>
      <c r="P168" s="991"/>
      <c r="Q168" s="991"/>
    </row>
    <row r="169" spans="1:17" x14ac:dyDescent="0.2">
      <c r="A169" s="711" t="str">
        <f>$A$52</f>
        <v>Data: __ Base Period _X_ Forecasted Period</v>
      </c>
    </row>
    <row r="170" spans="1:17" x14ac:dyDescent="0.2">
      <c r="A170" s="711" t="str">
        <f>$A$53</f>
        <v>Type of Filing: X Original _ Update _ Revised</v>
      </c>
      <c r="Q170" s="413" t="str">
        <f>$Q$53</f>
        <v>Schedule M-2.3</v>
      </c>
    </row>
    <row r="171" spans="1:17" x14ac:dyDescent="0.2">
      <c r="A171" s="711" t="str">
        <f>$A$54</f>
        <v>Work Paper Reference No(s):</v>
      </c>
      <c r="Q171" s="413" t="s">
        <v>516</v>
      </c>
    </row>
    <row r="172" spans="1:17" x14ac:dyDescent="0.2">
      <c r="A172" s="712" t="str">
        <f>$A$55</f>
        <v>12 Months Forecasted</v>
      </c>
      <c r="Q172" s="413" t="str">
        <f>Witness</f>
        <v>Witness:  M. J. Bell</v>
      </c>
    </row>
    <row r="173" spans="1:17" x14ac:dyDescent="0.2">
      <c r="A173" s="992" t="s">
        <v>293</v>
      </c>
      <c r="B173" s="992"/>
      <c r="C173" s="992"/>
      <c r="D173" s="992"/>
      <c r="E173" s="992"/>
      <c r="F173" s="992"/>
      <c r="G173" s="992"/>
      <c r="H173" s="992"/>
      <c r="I173" s="992"/>
      <c r="J173" s="992"/>
      <c r="K173" s="992"/>
      <c r="L173" s="992"/>
      <c r="M173" s="992"/>
      <c r="N173" s="992"/>
      <c r="O173" s="992"/>
      <c r="P173" s="992"/>
      <c r="Q173" s="992"/>
    </row>
    <row r="174" spans="1:17" x14ac:dyDescent="0.2">
      <c r="C174" s="455"/>
      <c r="G174" s="290"/>
      <c r="Q174" s="290"/>
    </row>
    <row r="175" spans="1:17" x14ac:dyDescent="0.2">
      <c r="A175" s="410" t="s">
        <v>1</v>
      </c>
      <c r="B175" s="224" t="s">
        <v>0</v>
      </c>
      <c r="C175" s="224" t="s">
        <v>41</v>
      </c>
      <c r="D175" s="416" t="s">
        <v>30</v>
      </c>
      <c r="E175" s="417"/>
      <c r="F175" s="418"/>
      <c r="G175" s="417"/>
      <c r="H175" s="419"/>
      <c r="I175" s="417"/>
      <c r="J175" s="417"/>
      <c r="K175" s="417"/>
      <c r="L175" s="417"/>
      <c r="M175" s="417"/>
      <c r="N175" s="417"/>
      <c r="O175" s="229"/>
      <c r="P175" s="229"/>
      <c r="Q175" s="229"/>
    </row>
    <row r="176" spans="1:17" x14ac:dyDescent="0.2">
      <c r="A176" s="281" t="s">
        <v>3</v>
      </c>
      <c r="B176" s="226" t="s">
        <v>40</v>
      </c>
      <c r="C176" s="226" t="s">
        <v>4</v>
      </c>
      <c r="D176" s="420" t="s">
        <v>48</v>
      </c>
      <c r="E176" s="421" t="str">
        <f>B!$D$11</f>
        <v>Jan-17</v>
      </c>
      <c r="F176" s="421" t="str">
        <f>B!$E$11</f>
        <v>Feb-17</v>
      </c>
      <c r="G176" s="421" t="str">
        <f>B!$F$11</f>
        <v>Mar-17</v>
      </c>
      <c r="H176" s="421" t="str">
        <f>B!$G$11</f>
        <v>Apr-17</v>
      </c>
      <c r="I176" s="421" t="str">
        <f>B!$H$11</f>
        <v>May-17</v>
      </c>
      <c r="J176" s="421" t="str">
        <f>B!$I$11</f>
        <v>Jun-17</v>
      </c>
      <c r="K176" s="421" t="str">
        <f>B!$J$11</f>
        <v>Jul-17</v>
      </c>
      <c r="L176" s="421" t="str">
        <f>B!$K$11</f>
        <v>Aug-17</v>
      </c>
      <c r="M176" s="421" t="str">
        <f>B!$L$11</f>
        <v>Sep-17</v>
      </c>
      <c r="N176" s="421" t="str">
        <f>B!$M$11</f>
        <v>Oct-17</v>
      </c>
      <c r="O176" s="421" t="str">
        <f>B!$N$11</f>
        <v>Nov-17</v>
      </c>
      <c r="P176" s="421" t="str">
        <f>B!$O$11</f>
        <v>Dec-17</v>
      </c>
      <c r="Q176" s="422" t="s">
        <v>9</v>
      </c>
    </row>
    <row r="177" spans="1:17" x14ac:dyDescent="0.2">
      <c r="A177" s="410"/>
      <c r="B177" s="229" t="s">
        <v>42</v>
      </c>
      <c r="C177" s="229" t="s">
        <v>43</v>
      </c>
      <c r="D177" s="423" t="s">
        <v>45</v>
      </c>
      <c r="E177" s="424" t="s">
        <v>46</v>
      </c>
      <c r="F177" s="424" t="s">
        <v>49</v>
      </c>
      <c r="G177" s="424" t="s">
        <v>50</v>
      </c>
      <c r="H177" s="424" t="s">
        <v>51</v>
      </c>
      <c r="I177" s="424" t="s">
        <v>52</v>
      </c>
      <c r="J177" s="425" t="s">
        <v>53</v>
      </c>
      <c r="K177" s="425" t="s">
        <v>54</v>
      </c>
      <c r="L177" s="425" t="s">
        <v>55</v>
      </c>
      <c r="M177" s="425" t="s">
        <v>56</v>
      </c>
      <c r="N177" s="425" t="s">
        <v>57</v>
      </c>
      <c r="O177" s="425" t="s">
        <v>58</v>
      </c>
      <c r="P177" s="425" t="s">
        <v>59</v>
      </c>
      <c r="Q177" s="425" t="s">
        <v>203</v>
      </c>
    </row>
    <row r="178" spans="1:17" x14ac:dyDescent="0.2">
      <c r="G178" s="290"/>
      <c r="Q178" s="290"/>
    </row>
    <row r="179" spans="1:17" x14ac:dyDescent="0.2">
      <c r="A179" s="259">
        <v>1</v>
      </c>
      <c r="C179" s="438" t="s">
        <v>94</v>
      </c>
      <c r="G179" s="290"/>
      <c r="Q179" s="290"/>
    </row>
    <row r="180" spans="1:17" x14ac:dyDescent="0.2">
      <c r="C180" s="438"/>
      <c r="G180" s="290"/>
      <c r="Q180" s="290"/>
    </row>
    <row r="181" spans="1:17" x14ac:dyDescent="0.2">
      <c r="A181" s="259">
        <f>A179+1</f>
        <v>2</v>
      </c>
      <c r="B181" s="219" t="str">
        <f>Input!A31</f>
        <v>GSO</v>
      </c>
      <c r="C181" s="219" t="str">
        <f>'Sch M 2.1'!B30</f>
        <v>General Service - Industrial</v>
      </c>
      <c r="G181" s="290"/>
      <c r="Q181" s="290"/>
    </row>
    <row r="182" spans="1:17" x14ac:dyDescent="0.2">
      <c r="A182" s="259">
        <f>A181+1</f>
        <v>3</v>
      </c>
      <c r="C182" s="444" t="s">
        <v>219</v>
      </c>
      <c r="E182" s="240">
        <f t="shared" ref="E182:P182" si="72">E699</f>
        <v>43</v>
      </c>
      <c r="F182" s="240">
        <f t="shared" si="72"/>
        <v>43</v>
      </c>
      <c r="G182" s="240">
        <f t="shared" si="72"/>
        <v>43</v>
      </c>
      <c r="H182" s="240">
        <f t="shared" si="72"/>
        <v>43</v>
      </c>
      <c r="I182" s="240">
        <f t="shared" si="72"/>
        <v>43</v>
      </c>
      <c r="J182" s="240">
        <f t="shared" si="72"/>
        <v>44</v>
      </c>
      <c r="K182" s="240">
        <f t="shared" si="72"/>
        <v>44</v>
      </c>
      <c r="L182" s="240">
        <f t="shared" si="72"/>
        <v>45</v>
      </c>
      <c r="M182" s="240">
        <f t="shared" si="72"/>
        <v>44</v>
      </c>
      <c r="N182" s="240">
        <f t="shared" si="72"/>
        <v>44</v>
      </c>
      <c r="O182" s="240">
        <f t="shared" si="72"/>
        <v>44</v>
      </c>
      <c r="P182" s="240">
        <f t="shared" si="72"/>
        <v>44</v>
      </c>
      <c r="Q182" s="240">
        <f>SUM(E182:P182)</f>
        <v>524</v>
      </c>
    </row>
    <row r="183" spans="1:17" x14ac:dyDescent="0.2">
      <c r="A183" s="259">
        <f>A182+1</f>
        <v>4</v>
      </c>
      <c r="C183" s="444" t="s">
        <v>567</v>
      </c>
      <c r="E183" s="245">
        <f t="shared" ref="E183:P183" si="73">E708</f>
        <v>33000.199999999997</v>
      </c>
      <c r="F183" s="245">
        <f t="shared" si="73"/>
        <v>31999.9</v>
      </c>
      <c r="G183" s="245">
        <f t="shared" si="73"/>
        <v>30900</v>
      </c>
      <c r="H183" s="245">
        <f t="shared" si="73"/>
        <v>29799.9</v>
      </c>
      <c r="I183" s="245">
        <f t="shared" si="73"/>
        <v>28800.3</v>
      </c>
      <c r="J183" s="245">
        <f t="shared" si="73"/>
        <v>27749.9</v>
      </c>
      <c r="K183" s="245">
        <f t="shared" si="73"/>
        <v>27749.9</v>
      </c>
      <c r="L183" s="245">
        <f t="shared" si="73"/>
        <v>28750.199999999997</v>
      </c>
      <c r="M183" s="245">
        <f t="shared" si="73"/>
        <v>28750.199999999997</v>
      </c>
      <c r="N183" s="245">
        <f t="shared" si="73"/>
        <v>30849.9</v>
      </c>
      <c r="O183" s="245">
        <f t="shared" si="73"/>
        <v>30900</v>
      </c>
      <c r="P183" s="245">
        <f t="shared" si="73"/>
        <v>31000.1</v>
      </c>
      <c r="Q183" s="245">
        <f>SUM(E183:P183)</f>
        <v>360250.5</v>
      </c>
    </row>
    <row r="184" spans="1:17" x14ac:dyDescent="0.2">
      <c r="A184" s="259">
        <f>A183+1</f>
        <v>5</v>
      </c>
      <c r="C184" s="444" t="s">
        <v>221</v>
      </c>
      <c r="E184" s="427">
        <f t="shared" ref="E184:P184" si="74">E716+E723</f>
        <v>74730.51999999999</v>
      </c>
      <c r="F184" s="427">
        <f t="shared" si="74"/>
        <v>72307.39</v>
      </c>
      <c r="G184" s="427">
        <f t="shared" si="74"/>
        <v>70141.62999999999</v>
      </c>
      <c r="H184" s="427">
        <f t="shared" si="74"/>
        <v>67586.14</v>
      </c>
      <c r="I184" s="427">
        <f t="shared" si="74"/>
        <v>64664.829999999994</v>
      </c>
      <c r="J184" s="427">
        <f t="shared" si="74"/>
        <v>62096.630000000005</v>
      </c>
      <c r="K184" s="427">
        <f t="shared" si="74"/>
        <v>62095.37</v>
      </c>
      <c r="L184" s="427">
        <f t="shared" si="74"/>
        <v>64512.240000000005</v>
      </c>
      <c r="M184" s="427">
        <f t="shared" si="74"/>
        <v>64460.89</v>
      </c>
      <c r="N184" s="427">
        <f t="shared" si="74"/>
        <v>69134.750000000015</v>
      </c>
      <c r="O184" s="427">
        <f t="shared" si="74"/>
        <v>69614.539999999994</v>
      </c>
      <c r="P184" s="427">
        <f t="shared" si="74"/>
        <v>70119.94</v>
      </c>
      <c r="Q184" s="427">
        <f>SUM(E184:P184)</f>
        <v>811464.87000000011</v>
      </c>
    </row>
    <row r="185" spans="1:17" x14ac:dyDescent="0.2">
      <c r="A185" s="259">
        <f>A184+1</f>
        <v>6</v>
      </c>
      <c r="C185" s="444" t="s">
        <v>222</v>
      </c>
      <c r="E185" s="427">
        <f t="shared" ref="E185:P185" si="75">E718</f>
        <v>72900.740000000005</v>
      </c>
      <c r="F185" s="427">
        <f t="shared" si="75"/>
        <v>70690.98</v>
      </c>
      <c r="G185" s="427">
        <f t="shared" si="75"/>
        <v>68261.19</v>
      </c>
      <c r="H185" s="427">
        <f t="shared" si="75"/>
        <v>65830.960000000006</v>
      </c>
      <c r="I185" s="427">
        <f t="shared" si="75"/>
        <v>63622.74</v>
      </c>
      <c r="J185" s="427">
        <f t="shared" si="75"/>
        <v>61302.3</v>
      </c>
      <c r="K185" s="427">
        <f t="shared" si="75"/>
        <v>61302.3</v>
      </c>
      <c r="L185" s="427">
        <f t="shared" si="75"/>
        <v>63512.07</v>
      </c>
      <c r="M185" s="427">
        <f t="shared" si="75"/>
        <v>63512.07</v>
      </c>
      <c r="N185" s="427">
        <f t="shared" si="75"/>
        <v>68150.509999999995</v>
      </c>
      <c r="O185" s="427">
        <f t="shared" si="75"/>
        <v>68261.19</v>
      </c>
      <c r="P185" s="427">
        <f t="shared" si="75"/>
        <v>68482.320000000007</v>
      </c>
      <c r="Q185" s="427">
        <f>SUM(E185:P185)</f>
        <v>795829.36999999988</v>
      </c>
    </row>
    <row r="186" spans="1:17" x14ac:dyDescent="0.2">
      <c r="A186" s="713">
        <f>A185+1</f>
        <v>7</v>
      </c>
      <c r="B186" s="447"/>
      <c r="C186" s="448" t="s">
        <v>568</v>
      </c>
      <c r="D186" s="449"/>
      <c r="E186" s="450">
        <f t="shared" ref="E186:P186" si="76">E725</f>
        <v>147631.26</v>
      </c>
      <c r="F186" s="450">
        <f t="shared" si="76"/>
        <v>142998.37</v>
      </c>
      <c r="G186" s="450">
        <f t="shared" si="76"/>
        <v>138402.81999999998</v>
      </c>
      <c r="H186" s="450">
        <f t="shared" si="76"/>
        <v>133417.09999999998</v>
      </c>
      <c r="I186" s="450">
        <f t="shared" si="76"/>
        <v>128287.56999999999</v>
      </c>
      <c r="J186" s="450">
        <f t="shared" si="76"/>
        <v>123398.93000000001</v>
      </c>
      <c r="K186" s="450">
        <f t="shared" si="76"/>
        <v>123397.67000000001</v>
      </c>
      <c r="L186" s="450">
        <f t="shared" si="76"/>
        <v>128024.31</v>
      </c>
      <c r="M186" s="450">
        <f t="shared" si="76"/>
        <v>127972.95999999999</v>
      </c>
      <c r="N186" s="450">
        <f t="shared" si="76"/>
        <v>137285.26</v>
      </c>
      <c r="O186" s="450">
        <f t="shared" si="76"/>
        <v>137875.73000000001</v>
      </c>
      <c r="P186" s="450">
        <f t="shared" si="76"/>
        <v>138602.26</v>
      </c>
      <c r="Q186" s="450">
        <f>SUM(E186:P186)</f>
        <v>1607294.24</v>
      </c>
    </row>
    <row r="187" spans="1:17" x14ac:dyDescent="0.2">
      <c r="G187" s="290"/>
      <c r="Q187" s="290"/>
    </row>
    <row r="188" spans="1:17" x14ac:dyDescent="0.2">
      <c r="A188" s="259">
        <f>A186+1</f>
        <v>8</v>
      </c>
      <c r="B188" s="219" t="str">
        <f>Input!A36</f>
        <v xml:space="preserve">IS </v>
      </c>
      <c r="C188" s="219" t="str">
        <f>'Sch M 2.1'!B31</f>
        <v>Interruptible Service - Industrial</v>
      </c>
      <c r="G188" s="290"/>
      <c r="Q188" s="290"/>
    </row>
    <row r="189" spans="1:17" x14ac:dyDescent="0.2">
      <c r="A189" s="259">
        <f>A188+1</f>
        <v>9</v>
      </c>
      <c r="C189" s="444" t="s">
        <v>219</v>
      </c>
      <c r="E189" s="240">
        <f t="shared" ref="E189:P189" si="77">E749</f>
        <v>0</v>
      </c>
      <c r="F189" s="240">
        <f t="shared" si="77"/>
        <v>0</v>
      </c>
      <c r="G189" s="240">
        <f t="shared" si="77"/>
        <v>0</v>
      </c>
      <c r="H189" s="240">
        <f t="shared" si="77"/>
        <v>0</v>
      </c>
      <c r="I189" s="240">
        <f t="shared" si="77"/>
        <v>0</v>
      </c>
      <c r="J189" s="240">
        <f t="shared" si="77"/>
        <v>0</v>
      </c>
      <c r="K189" s="240">
        <f t="shared" si="77"/>
        <v>0</v>
      </c>
      <c r="L189" s="240">
        <f t="shared" si="77"/>
        <v>0</v>
      </c>
      <c r="M189" s="240">
        <f t="shared" si="77"/>
        <v>0</v>
      </c>
      <c r="N189" s="240">
        <f t="shared" si="77"/>
        <v>0</v>
      </c>
      <c r="O189" s="240">
        <f t="shared" si="77"/>
        <v>0</v>
      </c>
      <c r="P189" s="240">
        <f t="shared" si="77"/>
        <v>0</v>
      </c>
      <c r="Q189" s="240">
        <f>SUM(E189:P189)</f>
        <v>0</v>
      </c>
    </row>
    <row r="190" spans="1:17" x14ac:dyDescent="0.2">
      <c r="A190" s="259">
        <f>A189+1</f>
        <v>10</v>
      </c>
      <c r="C190" s="444" t="s">
        <v>567</v>
      </c>
      <c r="E190" s="245">
        <f t="shared" ref="E190:P190" si="78">E757</f>
        <v>0</v>
      </c>
      <c r="F190" s="245">
        <f t="shared" si="78"/>
        <v>0</v>
      </c>
      <c r="G190" s="245">
        <f t="shared" si="78"/>
        <v>0</v>
      </c>
      <c r="H190" s="245">
        <f t="shared" si="78"/>
        <v>0</v>
      </c>
      <c r="I190" s="245">
        <f t="shared" si="78"/>
        <v>0</v>
      </c>
      <c r="J190" s="245">
        <f t="shared" si="78"/>
        <v>0</v>
      </c>
      <c r="K190" s="245">
        <f t="shared" si="78"/>
        <v>0</v>
      </c>
      <c r="L190" s="245">
        <f t="shared" si="78"/>
        <v>0</v>
      </c>
      <c r="M190" s="245">
        <f t="shared" si="78"/>
        <v>0</v>
      </c>
      <c r="N190" s="245">
        <f t="shared" si="78"/>
        <v>0</v>
      </c>
      <c r="O190" s="245">
        <f t="shared" si="78"/>
        <v>0</v>
      </c>
      <c r="P190" s="245">
        <f t="shared" si="78"/>
        <v>0</v>
      </c>
      <c r="Q190" s="245">
        <f>SUM(E190:P190)</f>
        <v>0</v>
      </c>
    </row>
    <row r="191" spans="1:17" x14ac:dyDescent="0.2">
      <c r="A191" s="259">
        <f>A190+1</f>
        <v>11</v>
      </c>
      <c r="C191" s="444" t="s">
        <v>221</v>
      </c>
      <c r="E191" s="427">
        <f>E764+E771</f>
        <v>0</v>
      </c>
      <c r="F191" s="427">
        <f t="shared" ref="F191:P191" si="79">F764+F771</f>
        <v>0</v>
      </c>
      <c r="G191" s="427">
        <f t="shared" si="79"/>
        <v>0</v>
      </c>
      <c r="H191" s="427">
        <f t="shared" si="79"/>
        <v>0</v>
      </c>
      <c r="I191" s="427">
        <f t="shared" si="79"/>
        <v>0</v>
      </c>
      <c r="J191" s="427">
        <f t="shared" si="79"/>
        <v>0</v>
      </c>
      <c r="K191" s="427">
        <f t="shared" si="79"/>
        <v>0</v>
      </c>
      <c r="L191" s="427">
        <f t="shared" si="79"/>
        <v>0</v>
      </c>
      <c r="M191" s="427">
        <f t="shared" si="79"/>
        <v>0</v>
      </c>
      <c r="N191" s="427">
        <f t="shared" si="79"/>
        <v>0</v>
      </c>
      <c r="O191" s="427">
        <f t="shared" si="79"/>
        <v>0</v>
      </c>
      <c r="P191" s="427">
        <f t="shared" si="79"/>
        <v>0</v>
      </c>
      <c r="Q191" s="427">
        <f>SUM(E191:P191)</f>
        <v>0</v>
      </c>
    </row>
    <row r="192" spans="1:17" x14ac:dyDescent="0.2">
      <c r="A192" s="259">
        <f>A191+1</f>
        <v>12</v>
      </c>
      <c r="C192" s="444" t="s">
        <v>222</v>
      </c>
      <c r="E192" s="427">
        <f t="shared" ref="E192:P192" si="80">E766</f>
        <v>0</v>
      </c>
      <c r="F192" s="427">
        <f t="shared" si="80"/>
        <v>0</v>
      </c>
      <c r="G192" s="427">
        <f t="shared" si="80"/>
        <v>0</v>
      </c>
      <c r="H192" s="427">
        <f t="shared" si="80"/>
        <v>0</v>
      </c>
      <c r="I192" s="427">
        <f t="shared" si="80"/>
        <v>0</v>
      </c>
      <c r="J192" s="427">
        <f t="shared" si="80"/>
        <v>0</v>
      </c>
      <c r="K192" s="427">
        <f t="shared" si="80"/>
        <v>0</v>
      </c>
      <c r="L192" s="427">
        <f t="shared" si="80"/>
        <v>0</v>
      </c>
      <c r="M192" s="427">
        <f t="shared" si="80"/>
        <v>0</v>
      </c>
      <c r="N192" s="427">
        <f t="shared" si="80"/>
        <v>0</v>
      </c>
      <c r="O192" s="427">
        <f t="shared" si="80"/>
        <v>0</v>
      </c>
      <c r="P192" s="427">
        <f t="shared" si="80"/>
        <v>0</v>
      </c>
      <c r="Q192" s="427">
        <f>SUM(E192:P192)</f>
        <v>0</v>
      </c>
    </row>
    <row r="193" spans="1:17" x14ac:dyDescent="0.2">
      <c r="A193" s="713">
        <f>A192+1</f>
        <v>13</v>
      </c>
      <c r="B193" s="447"/>
      <c r="C193" s="448" t="s">
        <v>568</v>
      </c>
      <c r="D193" s="449"/>
      <c r="E193" s="450">
        <f t="shared" ref="E193:P193" si="81">E773</f>
        <v>0</v>
      </c>
      <c r="F193" s="450">
        <f t="shared" si="81"/>
        <v>0</v>
      </c>
      <c r="G193" s="450">
        <f t="shared" si="81"/>
        <v>0</v>
      </c>
      <c r="H193" s="450">
        <f t="shared" si="81"/>
        <v>0</v>
      </c>
      <c r="I193" s="450">
        <f t="shared" si="81"/>
        <v>0</v>
      </c>
      <c r="J193" s="450">
        <f t="shared" si="81"/>
        <v>0</v>
      </c>
      <c r="K193" s="450">
        <f t="shared" si="81"/>
        <v>0</v>
      </c>
      <c r="L193" s="450">
        <f t="shared" si="81"/>
        <v>0</v>
      </c>
      <c r="M193" s="450">
        <f t="shared" si="81"/>
        <v>0</v>
      </c>
      <c r="N193" s="450">
        <f t="shared" si="81"/>
        <v>0</v>
      </c>
      <c r="O193" s="450">
        <f t="shared" si="81"/>
        <v>0</v>
      </c>
      <c r="P193" s="450">
        <f t="shared" si="81"/>
        <v>0</v>
      </c>
      <c r="Q193" s="450">
        <f>SUM(E193:P193)</f>
        <v>0</v>
      </c>
    </row>
    <row r="194" spans="1:17" x14ac:dyDescent="0.2">
      <c r="G194" s="290"/>
      <c r="Q194" s="290"/>
    </row>
    <row r="195" spans="1:17" x14ac:dyDescent="0.2">
      <c r="A195" s="259">
        <f>A193+1</f>
        <v>14</v>
      </c>
      <c r="B195" s="219" t="str">
        <f>Input!A37</f>
        <v>IUS</v>
      </c>
      <c r="C195" s="219" t="str">
        <f>'Sch M 2.1'!B32</f>
        <v>Intrastate Utility Service - Wholesale</v>
      </c>
      <c r="G195" s="290"/>
      <c r="Q195" s="290"/>
    </row>
    <row r="196" spans="1:17" x14ac:dyDescent="0.2">
      <c r="A196" s="259">
        <f>A195+1</f>
        <v>15</v>
      </c>
      <c r="C196" s="444" t="s">
        <v>219</v>
      </c>
      <c r="E196" s="240">
        <f t="shared" ref="E196:P196" si="82">E780</f>
        <v>2</v>
      </c>
      <c r="F196" s="240">
        <f t="shared" si="82"/>
        <v>2</v>
      </c>
      <c r="G196" s="240">
        <f t="shared" si="82"/>
        <v>2</v>
      </c>
      <c r="H196" s="240">
        <f t="shared" si="82"/>
        <v>2</v>
      </c>
      <c r="I196" s="240">
        <f t="shared" si="82"/>
        <v>2</v>
      </c>
      <c r="J196" s="240">
        <f t="shared" si="82"/>
        <v>2</v>
      </c>
      <c r="K196" s="240">
        <f t="shared" si="82"/>
        <v>2</v>
      </c>
      <c r="L196" s="240">
        <f t="shared" si="82"/>
        <v>2</v>
      </c>
      <c r="M196" s="240">
        <f t="shared" si="82"/>
        <v>2</v>
      </c>
      <c r="N196" s="240">
        <f t="shared" si="82"/>
        <v>2</v>
      </c>
      <c r="O196" s="240">
        <f t="shared" si="82"/>
        <v>2</v>
      </c>
      <c r="P196" s="240">
        <f t="shared" si="82"/>
        <v>2</v>
      </c>
      <c r="Q196" s="240">
        <f>SUM(E196:P196)</f>
        <v>24</v>
      </c>
    </row>
    <row r="197" spans="1:17" x14ac:dyDescent="0.2">
      <c r="A197" s="259">
        <f>A196+1</f>
        <v>16</v>
      </c>
      <c r="C197" s="444" t="s">
        <v>567</v>
      </c>
      <c r="E197" s="245">
        <f t="shared" ref="E197:P197" si="83">E784</f>
        <v>3136.7</v>
      </c>
      <c r="F197" s="245">
        <f t="shared" si="83"/>
        <v>2307.1999999999998</v>
      </c>
      <c r="G197" s="245">
        <f t="shared" si="83"/>
        <v>1098.5999999999999</v>
      </c>
      <c r="H197" s="245">
        <f t="shared" si="83"/>
        <v>641.70000000000005</v>
      </c>
      <c r="I197" s="245">
        <f t="shared" si="83"/>
        <v>362.9</v>
      </c>
      <c r="J197" s="245">
        <f t="shared" si="83"/>
        <v>221.4</v>
      </c>
      <c r="K197" s="245">
        <f t="shared" si="83"/>
        <v>245</v>
      </c>
      <c r="L197" s="245">
        <f t="shared" si="83"/>
        <v>196.3</v>
      </c>
      <c r="M197" s="245">
        <f t="shared" si="83"/>
        <v>196.6</v>
      </c>
      <c r="N197" s="245">
        <f t="shared" si="83"/>
        <v>705.2</v>
      </c>
      <c r="O197" s="245">
        <f t="shared" si="83"/>
        <v>1014.3</v>
      </c>
      <c r="P197" s="245">
        <f t="shared" si="83"/>
        <v>1194.8</v>
      </c>
      <c r="Q197" s="245">
        <f>SUM(E197:P197)</f>
        <v>11320.699999999999</v>
      </c>
    </row>
    <row r="198" spans="1:17" x14ac:dyDescent="0.2">
      <c r="A198" s="259">
        <f>A197+1</f>
        <v>17</v>
      </c>
      <c r="C198" s="444" t="s">
        <v>221</v>
      </c>
      <c r="E198" s="427">
        <f t="shared" ref="E198:P198" si="84">E787+E794</f>
        <v>4865.9000000000005</v>
      </c>
      <c r="F198" s="427">
        <f t="shared" si="84"/>
        <v>3879.2199999999993</v>
      </c>
      <c r="G198" s="427">
        <f t="shared" si="84"/>
        <v>2441.58</v>
      </c>
      <c r="H198" s="427">
        <f t="shared" si="84"/>
        <v>1898.1000000000001</v>
      </c>
      <c r="I198" s="427">
        <f t="shared" si="84"/>
        <v>1566.47</v>
      </c>
      <c r="J198" s="427">
        <f t="shared" si="84"/>
        <v>1398.16</v>
      </c>
      <c r="K198" s="427">
        <f t="shared" si="84"/>
        <v>1426.2299999999998</v>
      </c>
      <c r="L198" s="427">
        <f t="shared" si="84"/>
        <v>1368.3</v>
      </c>
      <c r="M198" s="427">
        <f t="shared" si="84"/>
        <v>1368.6499999999999</v>
      </c>
      <c r="N198" s="427">
        <f t="shared" si="84"/>
        <v>1973.6399999999999</v>
      </c>
      <c r="O198" s="427">
        <f t="shared" si="84"/>
        <v>2341.31</v>
      </c>
      <c r="P198" s="427">
        <f t="shared" si="84"/>
        <v>2556.0099999999998</v>
      </c>
      <c r="Q198" s="427">
        <f>SUM(E198:P198)</f>
        <v>27083.57</v>
      </c>
    </row>
    <row r="199" spans="1:17" x14ac:dyDescent="0.2">
      <c r="A199" s="259">
        <f>A198+1</f>
        <v>18</v>
      </c>
      <c r="C199" s="444" t="s">
        <v>222</v>
      </c>
      <c r="E199" s="427">
        <f t="shared" ref="E199:P199" si="85">E789</f>
        <v>6929.28</v>
      </c>
      <c r="F199" s="427">
        <f t="shared" si="85"/>
        <v>5096.84</v>
      </c>
      <c r="G199" s="427">
        <f t="shared" si="85"/>
        <v>2426.92</v>
      </c>
      <c r="H199" s="427">
        <f t="shared" si="85"/>
        <v>1417.58</v>
      </c>
      <c r="I199" s="427">
        <f t="shared" si="85"/>
        <v>801.68</v>
      </c>
      <c r="J199" s="427">
        <f t="shared" si="85"/>
        <v>489.09</v>
      </c>
      <c r="K199" s="427">
        <f t="shared" si="85"/>
        <v>541.23</v>
      </c>
      <c r="L199" s="427">
        <f t="shared" si="85"/>
        <v>433.65</v>
      </c>
      <c r="M199" s="427">
        <f t="shared" si="85"/>
        <v>434.31</v>
      </c>
      <c r="N199" s="427">
        <f t="shared" si="85"/>
        <v>1557.86</v>
      </c>
      <c r="O199" s="427">
        <f t="shared" si="85"/>
        <v>2240.69</v>
      </c>
      <c r="P199" s="427">
        <f t="shared" si="85"/>
        <v>2639.43</v>
      </c>
      <c r="Q199" s="427">
        <f>SUM(E199:P199)</f>
        <v>25008.560000000001</v>
      </c>
    </row>
    <row r="200" spans="1:17" x14ac:dyDescent="0.2">
      <c r="A200" s="713">
        <f>A199+1</f>
        <v>19</v>
      </c>
      <c r="B200" s="447"/>
      <c r="C200" s="448" t="s">
        <v>568</v>
      </c>
      <c r="D200" s="449"/>
      <c r="E200" s="450">
        <f t="shared" ref="E200:P200" si="86">E796</f>
        <v>11795.18</v>
      </c>
      <c r="F200" s="450">
        <f t="shared" si="86"/>
        <v>8976.06</v>
      </c>
      <c r="G200" s="450">
        <f t="shared" si="86"/>
        <v>4868.5000000000009</v>
      </c>
      <c r="H200" s="450">
        <f t="shared" si="86"/>
        <v>3315.68</v>
      </c>
      <c r="I200" s="450">
        <f t="shared" si="86"/>
        <v>2368.15</v>
      </c>
      <c r="J200" s="450">
        <f t="shared" si="86"/>
        <v>1887.25</v>
      </c>
      <c r="K200" s="450">
        <f t="shared" si="86"/>
        <v>1967.4599999999998</v>
      </c>
      <c r="L200" s="450">
        <f t="shared" si="86"/>
        <v>1801.9499999999998</v>
      </c>
      <c r="M200" s="450">
        <f t="shared" si="86"/>
        <v>1802.9599999999998</v>
      </c>
      <c r="N200" s="450">
        <f t="shared" si="86"/>
        <v>3531.5</v>
      </c>
      <c r="O200" s="450">
        <f t="shared" si="86"/>
        <v>4582</v>
      </c>
      <c r="P200" s="450">
        <f t="shared" si="86"/>
        <v>5195.4399999999996</v>
      </c>
      <c r="Q200" s="450">
        <f>SUM(E200:P200)</f>
        <v>52092.13</v>
      </c>
    </row>
    <row r="201" spans="1:17" x14ac:dyDescent="0.2">
      <c r="A201" s="615"/>
      <c r="B201" s="301"/>
      <c r="C201" s="455"/>
      <c r="D201" s="300"/>
      <c r="E201" s="415"/>
      <c r="F201" s="415"/>
      <c r="G201" s="415"/>
      <c r="H201" s="415"/>
      <c r="I201" s="415"/>
      <c r="J201" s="415"/>
      <c r="K201" s="415"/>
      <c r="L201" s="415"/>
      <c r="M201" s="415"/>
      <c r="N201" s="415"/>
      <c r="O201" s="415"/>
      <c r="P201" s="415"/>
      <c r="Q201" s="415"/>
    </row>
    <row r="202" spans="1:17" x14ac:dyDescent="0.2">
      <c r="G202" s="290"/>
      <c r="Q202" s="290"/>
    </row>
    <row r="203" spans="1:17" x14ac:dyDescent="0.2">
      <c r="A203" s="622" t="str">
        <f>$A$107</f>
        <v>[1] Reflects Normalized Volumes.</v>
      </c>
      <c r="G203" s="290"/>
      <c r="Q203" s="290"/>
    </row>
    <row r="204" spans="1:17" x14ac:dyDescent="0.2">
      <c r="A204" s="622" t="str">
        <f>$A$108</f>
        <v>[2] See Schedule M-2.2 Pages 8 through 21 for detail.</v>
      </c>
      <c r="G204" s="290"/>
      <c r="Q204" s="290"/>
    </row>
    <row r="205" spans="1:17" x14ac:dyDescent="0.2">
      <c r="A205" s="993" t="str">
        <f>CONAME</f>
        <v>Columbia Gas of Kentucky, Inc.</v>
      </c>
      <c r="B205" s="993"/>
      <c r="C205" s="993"/>
      <c r="D205" s="993"/>
      <c r="E205" s="993"/>
      <c r="F205" s="993"/>
      <c r="G205" s="993"/>
      <c r="H205" s="993"/>
      <c r="I205" s="993"/>
      <c r="J205" s="993"/>
      <c r="K205" s="993"/>
      <c r="L205" s="993"/>
      <c r="M205" s="993"/>
      <c r="N205" s="993"/>
      <c r="O205" s="993"/>
      <c r="P205" s="993"/>
      <c r="Q205" s="993"/>
    </row>
    <row r="206" spans="1:17" x14ac:dyDescent="0.2">
      <c r="A206" s="981" t="str">
        <f>case</f>
        <v>Case No. 2016-00162</v>
      </c>
      <c r="B206" s="981"/>
      <c r="C206" s="981"/>
      <c r="D206" s="981"/>
      <c r="E206" s="981"/>
      <c r="F206" s="981"/>
      <c r="G206" s="981"/>
      <c r="H206" s="981"/>
      <c r="I206" s="981"/>
      <c r="J206" s="981"/>
      <c r="K206" s="981"/>
      <c r="L206" s="981"/>
      <c r="M206" s="981"/>
      <c r="N206" s="981"/>
      <c r="O206" s="981"/>
      <c r="P206" s="981"/>
      <c r="Q206" s="981"/>
    </row>
    <row r="207" spans="1:17" x14ac:dyDescent="0.2">
      <c r="A207" s="994" t="s">
        <v>200</v>
      </c>
      <c r="B207" s="994"/>
      <c r="C207" s="994"/>
      <c r="D207" s="994"/>
      <c r="E207" s="994"/>
      <c r="F207" s="994"/>
      <c r="G207" s="994"/>
      <c r="H207" s="994"/>
      <c r="I207" s="994"/>
      <c r="J207" s="994"/>
      <c r="K207" s="994"/>
      <c r="L207" s="994"/>
      <c r="M207" s="994"/>
      <c r="N207" s="994"/>
      <c r="O207" s="994"/>
      <c r="P207" s="994"/>
      <c r="Q207" s="994"/>
    </row>
    <row r="208" spans="1:17" x14ac:dyDescent="0.2">
      <c r="A208" s="993" t="str">
        <f>TYDESC</f>
        <v>For the 12 Months Ended December 31, 2017</v>
      </c>
      <c r="B208" s="993"/>
      <c r="C208" s="993"/>
      <c r="D208" s="993"/>
      <c r="E208" s="993"/>
      <c r="F208" s="993"/>
      <c r="G208" s="993"/>
      <c r="H208" s="993"/>
      <c r="I208" s="993"/>
      <c r="J208" s="993"/>
      <c r="K208" s="993"/>
      <c r="L208" s="993"/>
      <c r="M208" s="993"/>
      <c r="N208" s="993"/>
      <c r="O208" s="993"/>
      <c r="P208" s="993"/>
      <c r="Q208" s="993"/>
    </row>
    <row r="209" spans="1:17" x14ac:dyDescent="0.2">
      <c r="A209" s="991" t="s">
        <v>39</v>
      </c>
      <c r="B209" s="991"/>
      <c r="C209" s="991"/>
      <c r="D209" s="991"/>
      <c r="E209" s="991"/>
      <c r="F209" s="991"/>
      <c r="G209" s="991"/>
      <c r="H209" s="991"/>
      <c r="I209" s="991"/>
      <c r="J209" s="991"/>
      <c r="K209" s="991"/>
      <c r="L209" s="991"/>
      <c r="M209" s="991"/>
      <c r="N209" s="991"/>
      <c r="O209" s="991"/>
      <c r="P209" s="991"/>
      <c r="Q209" s="991"/>
    </row>
    <row r="210" spans="1:17" x14ac:dyDescent="0.2">
      <c r="A210" s="711" t="str">
        <f>$A$52</f>
        <v>Data: __ Base Period _X_ Forecasted Period</v>
      </c>
    </row>
    <row r="211" spans="1:17" x14ac:dyDescent="0.2">
      <c r="A211" s="711" t="str">
        <f>$A$53</f>
        <v>Type of Filing: X Original _ Update _ Revised</v>
      </c>
      <c r="Q211" s="413" t="str">
        <f>$Q$53</f>
        <v>Schedule M-2.3</v>
      </c>
    </row>
    <row r="212" spans="1:17" x14ac:dyDescent="0.2">
      <c r="A212" s="711" t="str">
        <f>$A$54</f>
        <v>Work Paper Reference No(s):</v>
      </c>
      <c r="Q212" s="413" t="s">
        <v>499</v>
      </c>
    </row>
    <row r="213" spans="1:17" x14ac:dyDescent="0.2">
      <c r="A213" s="712" t="str">
        <f>$A$55</f>
        <v>12 Months Forecasted</v>
      </c>
      <c r="Q213" s="413" t="str">
        <f>Witness</f>
        <v>Witness:  M. J. Bell</v>
      </c>
    </row>
    <row r="214" spans="1:17" x14ac:dyDescent="0.2">
      <c r="A214" s="992" t="s">
        <v>293</v>
      </c>
      <c r="B214" s="992"/>
      <c r="C214" s="992"/>
      <c r="D214" s="992"/>
      <c r="E214" s="992"/>
      <c r="F214" s="992"/>
      <c r="G214" s="992"/>
      <c r="H214" s="992"/>
      <c r="I214" s="992"/>
      <c r="J214" s="992"/>
      <c r="K214" s="992"/>
      <c r="L214" s="992"/>
      <c r="M214" s="992"/>
      <c r="N214" s="992"/>
      <c r="O214" s="992"/>
      <c r="P214" s="992"/>
      <c r="Q214" s="992"/>
    </row>
    <row r="215" spans="1:17" x14ac:dyDescent="0.2">
      <c r="A215" s="230"/>
      <c r="B215" s="229"/>
      <c r="C215" s="229"/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</row>
    <row r="216" spans="1:17" x14ac:dyDescent="0.2">
      <c r="A216" s="410" t="s">
        <v>1</v>
      </c>
      <c r="B216" s="224" t="s">
        <v>0</v>
      </c>
      <c r="C216" s="224" t="s">
        <v>41</v>
      </c>
      <c r="D216" s="416" t="s">
        <v>30</v>
      </c>
      <c r="E216" s="417"/>
      <c r="F216" s="418"/>
      <c r="G216" s="417"/>
      <c r="H216" s="419"/>
      <c r="I216" s="417"/>
      <c r="J216" s="417"/>
      <c r="K216" s="417"/>
      <c r="L216" s="417"/>
      <c r="M216" s="417"/>
      <c r="N216" s="417"/>
      <c r="O216" s="229"/>
      <c r="P216" s="229"/>
      <c r="Q216" s="229"/>
    </row>
    <row r="217" spans="1:17" x14ac:dyDescent="0.2">
      <c r="A217" s="281" t="s">
        <v>3</v>
      </c>
      <c r="B217" s="226" t="s">
        <v>40</v>
      </c>
      <c r="C217" s="226" t="s">
        <v>4</v>
      </c>
      <c r="D217" s="420" t="s">
        <v>48</v>
      </c>
      <c r="E217" s="421" t="str">
        <f>B!$D$11</f>
        <v>Jan-17</v>
      </c>
      <c r="F217" s="421" t="str">
        <f>B!$E$11</f>
        <v>Feb-17</v>
      </c>
      <c r="G217" s="421" t="str">
        <f>B!$F$11</f>
        <v>Mar-17</v>
      </c>
      <c r="H217" s="421" t="str">
        <f>B!$G$11</f>
        <v>Apr-17</v>
      </c>
      <c r="I217" s="421" t="str">
        <f>B!$H$11</f>
        <v>May-17</v>
      </c>
      <c r="J217" s="421" t="str">
        <f>B!$I$11</f>
        <v>Jun-17</v>
      </c>
      <c r="K217" s="421" t="str">
        <f>B!$J$11</f>
        <v>Jul-17</v>
      </c>
      <c r="L217" s="421" t="str">
        <f>B!$K$11</f>
        <v>Aug-17</v>
      </c>
      <c r="M217" s="421" t="str">
        <f>B!$L$11</f>
        <v>Sep-17</v>
      </c>
      <c r="N217" s="421" t="str">
        <f>B!$M$11</f>
        <v>Oct-17</v>
      </c>
      <c r="O217" s="421" t="str">
        <f>B!$N$11</f>
        <v>Nov-17</v>
      </c>
      <c r="P217" s="421" t="str">
        <f>B!$O$11</f>
        <v>Dec-17</v>
      </c>
      <c r="Q217" s="422" t="s">
        <v>9</v>
      </c>
    </row>
    <row r="218" spans="1:17" x14ac:dyDescent="0.2">
      <c r="A218" s="410"/>
      <c r="B218" s="229" t="s">
        <v>42</v>
      </c>
      <c r="C218" s="229" t="s">
        <v>43</v>
      </c>
      <c r="D218" s="423" t="s">
        <v>45</v>
      </c>
      <c r="E218" s="424" t="s">
        <v>46</v>
      </c>
      <c r="F218" s="424" t="s">
        <v>49</v>
      </c>
      <c r="G218" s="424" t="s">
        <v>50</v>
      </c>
      <c r="H218" s="424" t="s">
        <v>51</v>
      </c>
      <c r="I218" s="424" t="s">
        <v>52</v>
      </c>
      <c r="J218" s="425" t="s">
        <v>53</v>
      </c>
      <c r="K218" s="425" t="s">
        <v>54</v>
      </c>
      <c r="L218" s="425" t="s">
        <v>55</v>
      </c>
      <c r="M218" s="425" t="s">
        <v>56</v>
      </c>
      <c r="N218" s="425" t="s">
        <v>57</v>
      </c>
      <c r="O218" s="425" t="s">
        <v>58</v>
      </c>
      <c r="P218" s="425" t="s">
        <v>59</v>
      </c>
      <c r="Q218" s="425" t="s">
        <v>203</v>
      </c>
    </row>
    <row r="219" spans="1:17" x14ac:dyDescent="0.2">
      <c r="A219" s="410"/>
      <c r="B219" s="229"/>
      <c r="C219" s="229"/>
      <c r="D219" s="423"/>
      <c r="E219" s="424"/>
      <c r="F219" s="424"/>
      <c r="G219" s="424"/>
      <c r="H219" s="424"/>
      <c r="I219" s="424"/>
      <c r="J219" s="425"/>
      <c r="K219" s="425"/>
      <c r="L219" s="425"/>
      <c r="M219" s="425"/>
      <c r="N219" s="425"/>
      <c r="O219" s="425"/>
      <c r="P219" s="425"/>
      <c r="Q219" s="425"/>
    </row>
    <row r="220" spans="1:17" x14ac:dyDescent="0.2">
      <c r="A220" s="259">
        <v>1</v>
      </c>
      <c r="C220" s="438" t="s">
        <v>95</v>
      </c>
    </row>
    <row r="222" spans="1:17" x14ac:dyDescent="0.2">
      <c r="A222" s="259">
        <f>A220+1</f>
        <v>2</v>
      </c>
      <c r="B222" s="219" t="str">
        <f>Input!A41</f>
        <v>GTR</v>
      </c>
      <c r="C222" s="219" t="str">
        <f>'Sch M 2.1'!B36</f>
        <v xml:space="preserve">GTS Choice - Residential </v>
      </c>
      <c r="G222" s="290"/>
      <c r="Q222" s="290"/>
    </row>
    <row r="223" spans="1:17" x14ac:dyDescent="0.2">
      <c r="A223" s="259">
        <f>A222+1</f>
        <v>3</v>
      </c>
      <c r="C223" s="444" t="s">
        <v>219</v>
      </c>
      <c r="E223" s="240">
        <f t="shared" ref="E223:P223" si="87">E822</f>
        <v>23720</v>
      </c>
      <c r="F223" s="240">
        <f t="shared" si="87"/>
        <v>23785</v>
      </c>
      <c r="G223" s="240">
        <f t="shared" si="87"/>
        <v>23786</v>
      </c>
      <c r="H223" s="240">
        <f t="shared" si="87"/>
        <v>23694</v>
      </c>
      <c r="I223" s="240">
        <f t="shared" si="87"/>
        <v>23612</v>
      </c>
      <c r="J223" s="240">
        <f t="shared" si="87"/>
        <v>23386</v>
      </c>
      <c r="K223" s="240">
        <f t="shared" si="87"/>
        <v>23238</v>
      </c>
      <c r="L223" s="240">
        <f t="shared" si="87"/>
        <v>23223</v>
      </c>
      <c r="M223" s="240">
        <f t="shared" si="87"/>
        <v>23179</v>
      </c>
      <c r="N223" s="240">
        <f t="shared" si="87"/>
        <v>23188</v>
      </c>
      <c r="O223" s="240">
        <f t="shared" si="87"/>
        <v>23458</v>
      </c>
      <c r="P223" s="240">
        <f t="shared" si="87"/>
        <v>23677</v>
      </c>
      <c r="Q223" s="240">
        <f>SUM(E223:P223)</f>
        <v>281946</v>
      </c>
    </row>
    <row r="224" spans="1:17" x14ac:dyDescent="0.2">
      <c r="A224" s="259">
        <f>A223+1</f>
        <v>4</v>
      </c>
      <c r="C224" s="444" t="s">
        <v>567</v>
      </c>
      <c r="E224" s="245">
        <f t="shared" ref="E224:P224" si="88">E826</f>
        <v>364000</v>
      </c>
      <c r="F224" s="245">
        <f t="shared" si="88"/>
        <v>353000</v>
      </c>
      <c r="G224" s="245">
        <f t="shared" si="88"/>
        <v>265000</v>
      </c>
      <c r="H224" s="245">
        <f t="shared" si="88"/>
        <v>151000</v>
      </c>
      <c r="I224" s="245">
        <f t="shared" si="88"/>
        <v>71000</v>
      </c>
      <c r="J224" s="245">
        <f t="shared" si="88"/>
        <v>34000</v>
      </c>
      <c r="K224" s="245">
        <f t="shared" si="88"/>
        <v>24000</v>
      </c>
      <c r="L224" s="245">
        <f t="shared" si="88"/>
        <v>23000</v>
      </c>
      <c r="M224" s="245">
        <f t="shared" si="88"/>
        <v>25000</v>
      </c>
      <c r="N224" s="245">
        <f t="shared" si="88"/>
        <v>39000</v>
      </c>
      <c r="O224" s="245">
        <f t="shared" si="88"/>
        <v>111000</v>
      </c>
      <c r="P224" s="245">
        <f t="shared" si="88"/>
        <v>247000</v>
      </c>
      <c r="Q224" s="245">
        <f>SUM(E224:P224)</f>
        <v>1707000</v>
      </c>
    </row>
    <row r="225" spans="1:17" x14ac:dyDescent="0.2">
      <c r="A225" s="259">
        <f>A224+1</f>
        <v>5</v>
      </c>
      <c r="C225" s="444" t="s">
        <v>221</v>
      </c>
      <c r="E225" s="427">
        <f>E829+E838</f>
        <v>1725360.4000000001</v>
      </c>
      <c r="F225" s="427">
        <f t="shared" ref="F225:P225" si="89">F829+F838</f>
        <v>1686268.85</v>
      </c>
      <c r="G225" s="427">
        <f t="shared" si="89"/>
        <v>1364874.34</v>
      </c>
      <c r="H225" s="427">
        <f t="shared" si="89"/>
        <v>946965.26</v>
      </c>
      <c r="I225" s="427">
        <f t="shared" si="89"/>
        <v>653404.67999999993</v>
      </c>
      <c r="J225" s="427">
        <f t="shared" si="89"/>
        <v>514493.94</v>
      </c>
      <c r="K225" s="427">
        <f t="shared" si="89"/>
        <v>475499.82</v>
      </c>
      <c r="L225" s="427">
        <f t="shared" si="89"/>
        <v>471597.06999999995</v>
      </c>
      <c r="M225" s="427">
        <f t="shared" si="89"/>
        <v>478167.51</v>
      </c>
      <c r="N225" s="427">
        <f t="shared" si="89"/>
        <v>529451.31999999995</v>
      </c>
      <c r="O225" s="427">
        <f t="shared" si="89"/>
        <v>796930.41999999993</v>
      </c>
      <c r="P225" s="427">
        <f t="shared" si="89"/>
        <v>1297311.93</v>
      </c>
      <c r="Q225" s="427">
        <f>SUM(E225:P225)</f>
        <v>10940325.539999999</v>
      </c>
    </row>
    <row r="226" spans="1:17" x14ac:dyDescent="0.2">
      <c r="A226" s="259">
        <f>A225+1</f>
        <v>6</v>
      </c>
      <c r="C226" s="444" t="s">
        <v>222</v>
      </c>
      <c r="E226" s="427">
        <f t="shared" ref="E226:P226" si="90">E831</f>
        <v>0</v>
      </c>
      <c r="F226" s="427">
        <f t="shared" si="90"/>
        <v>0</v>
      </c>
      <c r="G226" s="427">
        <f t="shared" si="90"/>
        <v>0</v>
      </c>
      <c r="H226" s="427">
        <f t="shared" si="90"/>
        <v>0</v>
      </c>
      <c r="I226" s="427">
        <f t="shared" si="90"/>
        <v>0</v>
      </c>
      <c r="J226" s="427">
        <f t="shared" si="90"/>
        <v>0</v>
      </c>
      <c r="K226" s="427">
        <f t="shared" si="90"/>
        <v>0</v>
      </c>
      <c r="L226" s="427">
        <f t="shared" si="90"/>
        <v>0</v>
      </c>
      <c r="M226" s="427">
        <f t="shared" si="90"/>
        <v>0</v>
      </c>
      <c r="N226" s="427">
        <f t="shared" si="90"/>
        <v>0</v>
      </c>
      <c r="O226" s="427">
        <f t="shared" si="90"/>
        <v>0</v>
      </c>
      <c r="P226" s="427">
        <f t="shared" si="90"/>
        <v>0</v>
      </c>
      <c r="Q226" s="427">
        <f>SUM(E226:P226)</f>
        <v>0</v>
      </c>
    </row>
    <row r="227" spans="1:17" x14ac:dyDescent="0.2">
      <c r="A227" s="713">
        <f>A226+1</f>
        <v>7</v>
      </c>
      <c r="B227" s="447"/>
      <c r="C227" s="448" t="s">
        <v>568</v>
      </c>
      <c r="D227" s="449"/>
      <c r="E227" s="450">
        <f t="shared" ref="E227:P227" si="91">E840</f>
        <v>1725360.4000000001</v>
      </c>
      <c r="F227" s="450">
        <f t="shared" si="91"/>
        <v>1686268.85</v>
      </c>
      <c r="G227" s="450">
        <f t="shared" si="91"/>
        <v>1364874.34</v>
      </c>
      <c r="H227" s="450">
        <f t="shared" si="91"/>
        <v>946965.26</v>
      </c>
      <c r="I227" s="450">
        <f t="shared" si="91"/>
        <v>653404.67999999993</v>
      </c>
      <c r="J227" s="450">
        <f t="shared" si="91"/>
        <v>514493.94</v>
      </c>
      <c r="K227" s="450">
        <f t="shared" si="91"/>
        <v>475499.82</v>
      </c>
      <c r="L227" s="450">
        <f t="shared" si="91"/>
        <v>471597.06999999995</v>
      </c>
      <c r="M227" s="450">
        <f t="shared" si="91"/>
        <v>478167.51</v>
      </c>
      <c r="N227" s="450">
        <f t="shared" si="91"/>
        <v>529451.31999999995</v>
      </c>
      <c r="O227" s="450">
        <f t="shared" si="91"/>
        <v>796930.41999999993</v>
      </c>
      <c r="P227" s="450">
        <f t="shared" si="91"/>
        <v>1297311.93</v>
      </c>
      <c r="Q227" s="450">
        <f>SUM(E227:P227)</f>
        <v>10940325.539999999</v>
      </c>
    </row>
    <row r="228" spans="1:17" x14ac:dyDescent="0.2">
      <c r="C228" s="455"/>
      <c r="G228" s="290"/>
      <c r="Q228" s="290"/>
    </row>
    <row r="229" spans="1:17" x14ac:dyDescent="0.2">
      <c r="A229" s="259">
        <f>A227+1</f>
        <v>8</v>
      </c>
      <c r="B229" s="219" t="str">
        <f>Input!A42</f>
        <v>GTO</v>
      </c>
      <c r="C229" s="219" t="str">
        <f>'Sch M 2.1'!B37</f>
        <v>GTS Choice - Commercial</v>
      </c>
      <c r="G229" s="290"/>
      <c r="Q229" s="290"/>
    </row>
    <row r="230" spans="1:17" x14ac:dyDescent="0.2">
      <c r="A230" s="259">
        <f>A229+1</f>
        <v>9</v>
      </c>
      <c r="C230" s="444" t="s">
        <v>219</v>
      </c>
      <c r="E230" s="240">
        <f t="shared" ref="E230:P230" si="92">E847</f>
        <v>3837</v>
      </c>
      <c r="F230" s="240">
        <f t="shared" si="92"/>
        <v>3809</v>
      </c>
      <c r="G230" s="240">
        <f t="shared" si="92"/>
        <v>4093</v>
      </c>
      <c r="H230" s="240">
        <f t="shared" si="92"/>
        <v>4081</v>
      </c>
      <c r="I230" s="240">
        <f t="shared" si="92"/>
        <v>4058</v>
      </c>
      <c r="J230" s="240">
        <f t="shared" si="92"/>
        <v>4042</v>
      </c>
      <c r="K230" s="240">
        <f t="shared" si="92"/>
        <v>4016</v>
      </c>
      <c r="L230" s="240">
        <f t="shared" si="92"/>
        <v>3956</v>
      </c>
      <c r="M230" s="240">
        <f t="shared" si="92"/>
        <v>3924</v>
      </c>
      <c r="N230" s="240">
        <f t="shared" si="92"/>
        <v>3899</v>
      </c>
      <c r="O230" s="240">
        <f t="shared" si="92"/>
        <v>3877</v>
      </c>
      <c r="P230" s="240">
        <f t="shared" si="92"/>
        <v>3853</v>
      </c>
      <c r="Q230" s="240">
        <f>SUM(E230:P230)</f>
        <v>47445</v>
      </c>
    </row>
    <row r="231" spans="1:17" x14ac:dyDescent="0.2">
      <c r="A231" s="259">
        <f>A230+1</f>
        <v>10</v>
      </c>
      <c r="C231" s="444" t="s">
        <v>567</v>
      </c>
      <c r="E231" s="245">
        <f t="shared" ref="E231:P231" si="93">E856</f>
        <v>322000.8</v>
      </c>
      <c r="F231" s="245">
        <f t="shared" si="93"/>
        <v>312002.39999999997</v>
      </c>
      <c r="G231" s="245">
        <f t="shared" si="93"/>
        <v>236001.1</v>
      </c>
      <c r="H231" s="245">
        <f t="shared" si="93"/>
        <v>155003.9</v>
      </c>
      <c r="I231" s="245">
        <f t="shared" si="93"/>
        <v>96998.6</v>
      </c>
      <c r="J231" s="245">
        <f t="shared" si="93"/>
        <v>74000.099999999991</v>
      </c>
      <c r="K231" s="245">
        <f t="shared" si="93"/>
        <v>65999</v>
      </c>
      <c r="L231" s="245">
        <f t="shared" si="93"/>
        <v>64001.100000000006</v>
      </c>
      <c r="M231" s="245">
        <f t="shared" si="93"/>
        <v>68998</v>
      </c>
      <c r="N231" s="245">
        <f t="shared" si="93"/>
        <v>90994.6</v>
      </c>
      <c r="O231" s="245">
        <f t="shared" si="93"/>
        <v>139994.69999999998</v>
      </c>
      <c r="P231" s="245">
        <f t="shared" si="93"/>
        <v>233996.5</v>
      </c>
      <c r="Q231" s="245">
        <f>SUM(E231:P231)</f>
        <v>1859990.8000000003</v>
      </c>
    </row>
    <row r="232" spans="1:17" x14ac:dyDescent="0.2">
      <c r="A232" s="259">
        <f>A231+1</f>
        <v>11</v>
      </c>
      <c r="C232" s="444" t="s">
        <v>221</v>
      </c>
      <c r="E232" s="427">
        <f t="shared" ref="E232:P232" si="94">E864</f>
        <v>994431.79000000015</v>
      </c>
      <c r="F232" s="427">
        <f t="shared" si="94"/>
        <v>972287.36</v>
      </c>
      <c r="G232" s="427">
        <f t="shared" si="94"/>
        <v>804686.03</v>
      </c>
      <c r="H232" s="427">
        <f t="shared" si="94"/>
        <v>595436.74</v>
      </c>
      <c r="I232" s="427">
        <f t="shared" si="94"/>
        <v>440613.93000000005</v>
      </c>
      <c r="J232" s="427">
        <f t="shared" si="94"/>
        <v>376003.88</v>
      </c>
      <c r="K232" s="427">
        <f t="shared" si="94"/>
        <v>354424.26</v>
      </c>
      <c r="L232" s="427">
        <f t="shared" si="94"/>
        <v>346618.16000000003</v>
      </c>
      <c r="M232" s="427">
        <f t="shared" si="94"/>
        <v>357855.01</v>
      </c>
      <c r="N232" s="427">
        <f t="shared" si="94"/>
        <v>413162.57999999996</v>
      </c>
      <c r="O232" s="427">
        <f t="shared" si="94"/>
        <v>541066.9</v>
      </c>
      <c r="P232" s="427">
        <f t="shared" si="94"/>
        <v>777955.64999999991</v>
      </c>
      <c r="Q232" s="427">
        <f>SUM(E232:P232)</f>
        <v>6974542.290000001</v>
      </c>
    </row>
    <row r="233" spans="1:17" x14ac:dyDescent="0.2">
      <c r="A233" s="259">
        <f>A232+1</f>
        <v>12</v>
      </c>
      <c r="C233" s="444" t="s">
        <v>222</v>
      </c>
      <c r="E233" s="427">
        <f t="shared" ref="E233:P233" si="95">E866</f>
        <v>0</v>
      </c>
      <c r="F233" s="427">
        <f t="shared" si="95"/>
        <v>0</v>
      </c>
      <c r="G233" s="427">
        <f t="shared" si="95"/>
        <v>0</v>
      </c>
      <c r="H233" s="427">
        <f t="shared" si="95"/>
        <v>0</v>
      </c>
      <c r="I233" s="427">
        <f t="shared" si="95"/>
        <v>0</v>
      </c>
      <c r="J233" s="427">
        <f t="shared" si="95"/>
        <v>0</v>
      </c>
      <c r="K233" s="427">
        <f t="shared" si="95"/>
        <v>0</v>
      </c>
      <c r="L233" s="427">
        <f t="shared" si="95"/>
        <v>0</v>
      </c>
      <c r="M233" s="427">
        <f t="shared" si="95"/>
        <v>0</v>
      </c>
      <c r="N233" s="427">
        <f t="shared" si="95"/>
        <v>0</v>
      </c>
      <c r="O233" s="427">
        <f t="shared" si="95"/>
        <v>0</v>
      </c>
      <c r="P233" s="427">
        <f t="shared" si="95"/>
        <v>0</v>
      </c>
      <c r="Q233" s="427">
        <f>SUM(E233:P233)</f>
        <v>0</v>
      </c>
    </row>
    <row r="234" spans="1:17" x14ac:dyDescent="0.2">
      <c r="A234" s="713">
        <f>A233+1</f>
        <v>13</v>
      </c>
      <c r="B234" s="447"/>
      <c r="C234" s="448" t="s">
        <v>568</v>
      </c>
      <c r="D234" s="449"/>
      <c r="E234" s="450">
        <f t="shared" ref="E234:P234" si="96">E868</f>
        <v>994431.79000000015</v>
      </c>
      <c r="F234" s="450">
        <f t="shared" si="96"/>
        <v>972287.36</v>
      </c>
      <c r="G234" s="450">
        <f t="shared" si="96"/>
        <v>804686.03</v>
      </c>
      <c r="H234" s="450">
        <f t="shared" si="96"/>
        <v>595436.74</v>
      </c>
      <c r="I234" s="450">
        <f t="shared" si="96"/>
        <v>440613.93000000005</v>
      </c>
      <c r="J234" s="450">
        <f t="shared" si="96"/>
        <v>376003.88</v>
      </c>
      <c r="K234" s="450">
        <f t="shared" si="96"/>
        <v>354424.26</v>
      </c>
      <c r="L234" s="450">
        <f t="shared" si="96"/>
        <v>346618.16000000003</v>
      </c>
      <c r="M234" s="450">
        <f t="shared" si="96"/>
        <v>357855.01</v>
      </c>
      <c r="N234" s="450">
        <f t="shared" si="96"/>
        <v>413162.57999999996</v>
      </c>
      <c r="O234" s="450">
        <f t="shared" si="96"/>
        <v>541066.9</v>
      </c>
      <c r="P234" s="450">
        <f t="shared" si="96"/>
        <v>777955.64999999991</v>
      </c>
      <c r="Q234" s="450">
        <f>SUM(E234:P234)</f>
        <v>6974542.290000001</v>
      </c>
    </row>
    <row r="235" spans="1:17" x14ac:dyDescent="0.2">
      <c r="C235" s="455"/>
      <c r="G235" s="290"/>
      <c r="Q235" s="290"/>
    </row>
    <row r="236" spans="1:17" x14ac:dyDescent="0.2">
      <c r="A236" s="259">
        <f>A234+1</f>
        <v>14</v>
      </c>
      <c r="B236" s="219" t="str">
        <f>Input!A43</f>
        <v>GTO</v>
      </c>
      <c r="C236" s="219" t="str">
        <f>'Sch M 2.1'!B38</f>
        <v>GTS Choice - Industrial</v>
      </c>
      <c r="E236" s="240"/>
      <c r="G236" s="290"/>
      <c r="Q236" s="290"/>
    </row>
    <row r="237" spans="1:17" x14ac:dyDescent="0.2">
      <c r="A237" s="259">
        <f>A236+1</f>
        <v>15</v>
      </c>
      <c r="C237" s="444" t="s">
        <v>219</v>
      </c>
      <c r="E237" s="240">
        <f t="shared" ref="E237:P237" si="97">E891</f>
        <v>13</v>
      </c>
      <c r="F237" s="240">
        <f t="shared" si="97"/>
        <v>13</v>
      </c>
      <c r="G237" s="240">
        <f t="shared" si="97"/>
        <v>12</v>
      </c>
      <c r="H237" s="240">
        <f t="shared" si="97"/>
        <v>13</v>
      </c>
      <c r="I237" s="240">
        <f t="shared" si="97"/>
        <v>12</v>
      </c>
      <c r="J237" s="240">
        <f t="shared" si="97"/>
        <v>12</v>
      </c>
      <c r="K237" s="240">
        <f t="shared" si="97"/>
        <v>12</v>
      </c>
      <c r="L237" s="240">
        <f t="shared" si="97"/>
        <v>12</v>
      </c>
      <c r="M237" s="240">
        <f t="shared" si="97"/>
        <v>12</v>
      </c>
      <c r="N237" s="240">
        <f t="shared" si="97"/>
        <v>12</v>
      </c>
      <c r="O237" s="240">
        <f t="shared" si="97"/>
        <v>13</v>
      </c>
      <c r="P237" s="240">
        <f t="shared" si="97"/>
        <v>13</v>
      </c>
      <c r="Q237" s="240">
        <f>SUM(E237:P237)</f>
        <v>149</v>
      </c>
    </row>
    <row r="238" spans="1:17" x14ac:dyDescent="0.2">
      <c r="A238" s="259">
        <f>A237+1</f>
        <v>16</v>
      </c>
      <c r="C238" s="444" t="s">
        <v>567</v>
      </c>
      <c r="E238" s="245">
        <f t="shared" ref="E238:P238" si="98">E900</f>
        <v>6000.0999999999995</v>
      </c>
      <c r="F238" s="245">
        <f t="shared" si="98"/>
        <v>5999.9</v>
      </c>
      <c r="G238" s="245">
        <f t="shared" si="98"/>
        <v>5999.9</v>
      </c>
      <c r="H238" s="245">
        <f t="shared" si="98"/>
        <v>5999.9</v>
      </c>
      <c r="I238" s="245">
        <f t="shared" si="98"/>
        <v>6000</v>
      </c>
      <c r="J238" s="245">
        <f t="shared" si="98"/>
        <v>6000.1</v>
      </c>
      <c r="K238" s="245">
        <f t="shared" si="98"/>
        <v>5999.9</v>
      </c>
      <c r="L238" s="245">
        <f t="shared" si="98"/>
        <v>6000</v>
      </c>
      <c r="M238" s="245">
        <f t="shared" si="98"/>
        <v>6000</v>
      </c>
      <c r="N238" s="245">
        <f t="shared" si="98"/>
        <v>6000.1</v>
      </c>
      <c r="O238" s="245">
        <f t="shared" si="98"/>
        <v>6000</v>
      </c>
      <c r="P238" s="245">
        <f t="shared" si="98"/>
        <v>6000</v>
      </c>
      <c r="Q238" s="245">
        <f>SUM(E238:P238)</f>
        <v>71999.899999999994</v>
      </c>
    </row>
    <row r="239" spans="1:17" x14ac:dyDescent="0.2">
      <c r="A239" s="259">
        <f>A238+1</f>
        <v>17</v>
      </c>
      <c r="C239" s="444" t="s">
        <v>221</v>
      </c>
      <c r="E239" s="427">
        <f t="shared" ref="E239:P239" si="99">E908</f>
        <v>14408.72</v>
      </c>
      <c r="F239" s="427">
        <f t="shared" si="99"/>
        <v>14451.630000000001</v>
      </c>
      <c r="G239" s="427">
        <f t="shared" si="99"/>
        <v>14294.750000000002</v>
      </c>
      <c r="H239" s="427">
        <f t="shared" si="99"/>
        <v>14073.38</v>
      </c>
      <c r="I239" s="427">
        <f t="shared" si="99"/>
        <v>13868.470000000001</v>
      </c>
      <c r="J239" s="427">
        <f t="shared" si="99"/>
        <v>13753.42</v>
      </c>
      <c r="K239" s="427">
        <f t="shared" si="99"/>
        <v>13731.79</v>
      </c>
      <c r="L239" s="427">
        <f t="shared" si="99"/>
        <v>13684.730000000001</v>
      </c>
      <c r="M239" s="427">
        <f t="shared" si="99"/>
        <v>13687.140000000001</v>
      </c>
      <c r="N239" s="427">
        <f t="shared" si="99"/>
        <v>13989.1</v>
      </c>
      <c r="O239" s="427">
        <f t="shared" si="99"/>
        <v>14207.42</v>
      </c>
      <c r="P239" s="427">
        <f t="shared" si="99"/>
        <v>14266.33</v>
      </c>
      <c r="Q239" s="427">
        <f>SUM(E239:P239)</f>
        <v>168416.88</v>
      </c>
    </row>
    <row r="240" spans="1:17" x14ac:dyDescent="0.2">
      <c r="A240" s="259">
        <f>A239+1</f>
        <v>18</v>
      </c>
      <c r="C240" s="444" t="s">
        <v>222</v>
      </c>
      <c r="E240" s="427">
        <f t="shared" ref="E240:P240" si="100">E910</f>
        <v>0</v>
      </c>
      <c r="F240" s="427">
        <f t="shared" si="100"/>
        <v>0</v>
      </c>
      <c r="G240" s="427">
        <f t="shared" si="100"/>
        <v>0</v>
      </c>
      <c r="H240" s="427">
        <f t="shared" si="100"/>
        <v>0</v>
      </c>
      <c r="I240" s="427">
        <f t="shared" si="100"/>
        <v>0</v>
      </c>
      <c r="J240" s="427">
        <f t="shared" si="100"/>
        <v>0</v>
      </c>
      <c r="K240" s="427">
        <f t="shared" si="100"/>
        <v>0</v>
      </c>
      <c r="L240" s="427">
        <f t="shared" si="100"/>
        <v>0</v>
      </c>
      <c r="M240" s="427">
        <f t="shared" si="100"/>
        <v>0</v>
      </c>
      <c r="N240" s="427">
        <f t="shared" si="100"/>
        <v>0</v>
      </c>
      <c r="O240" s="427">
        <f t="shared" si="100"/>
        <v>0</v>
      </c>
      <c r="P240" s="427">
        <f t="shared" si="100"/>
        <v>0</v>
      </c>
      <c r="Q240" s="427">
        <f>SUM(E240:P240)</f>
        <v>0</v>
      </c>
    </row>
    <row r="241" spans="1:17" x14ac:dyDescent="0.2">
      <c r="A241" s="713">
        <f>A240+1</f>
        <v>19</v>
      </c>
      <c r="B241" s="447"/>
      <c r="C241" s="448" t="s">
        <v>568</v>
      </c>
      <c r="D241" s="449"/>
      <c r="E241" s="450">
        <f t="shared" ref="E241:P241" si="101">E912</f>
        <v>14408.72</v>
      </c>
      <c r="F241" s="450">
        <f t="shared" si="101"/>
        <v>14451.630000000001</v>
      </c>
      <c r="G241" s="450">
        <f t="shared" si="101"/>
        <v>14294.750000000002</v>
      </c>
      <c r="H241" s="450">
        <f t="shared" si="101"/>
        <v>14073.38</v>
      </c>
      <c r="I241" s="450">
        <f t="shared" si="101"/>
        <v>13868.470000000001</v>
      </c>
      <c r="J241" s="450">
        <f t="shared" si="101"/>
        <v>13753.42</v>
      </c>
      <c r="K241" s="450">
        <f t="shared" si="101"/>
        <v>13731.79</v>
      </c>
      <c r="L241" s="450">
        <f t="shared" si="101"/>
        <v>13684.730000000001</v>
      </c>
      <c r="M241" s="450">
        <f t="shared" si="101"/>
        <v>13687.140000000001</v>
      </c>
      <c r="N241" s="450">
        <f t="shared" si="101"/>
        <v>13989.1</v>
      </c>
      <c r="O241" s="450">
        <f t="shared" si="101"/>
        <v>14207.42</v>
      </c>
      <c r="P241" s="450">
        <f t="shared" si="101"/>
        <v>14266.33</v>
      </c>
      <c r="Q241" s="450">
        <f>SUM(E241:P241)</f>
        <v>168416.88</v>
      </c>
    </row>
    <row r="243" spans="1:17" x14ac:dyDescent="0.2">
      <c r="A243" s="259">
        <f>A241+1</f>
        <v>20</v>
      </c>
      <c r="B243" s="219" t="str">
        <f>Input!A44</f>
        <v>DS</v>
      </c>
      <c r="C243" s="219" t="str">
        <f>'Sch M 2.1'!B39</f>
        <v>GTS Delivery Service - Commercial</v>
      </c>
      <c r="G243" s="290"/>
      <c r="Q243" s="290"/>
    </row>
    <row r="244" spans="1:17" x14ac:dyDescent="0.2">
      <c r="A244" s="259">
        <f>A243+1</f>
        <v>21</v>
      </c>
      <c r="C244" s="444" t="s">
        <v>219</v>
      </c>
      <c r="E244" s="240">
        <f t="shared" ref="E244:P244" si="102">E935</f>
        <v>41</v>
      </c>
      <c r="F244" s="240">
        <f t="shared" si="102"/>
        <v>32</v>
      </c>
      <c r="G244" s="240">
        <f t="shared" si="102"/>
        <v>32</v>
      </c>
      <c r="H244" s="240">
        <f t="shared" si="102"/>
        <v>32</v>
      </c>
      <c r="I244" s="240">
        <f t="shared" si="102"/>
        <v>32</v>
      </c>
      <c r="J244" s="240">
        <f t="shared" si="102"/>
        <v>32</v>
      </c>
      <c r="K244" s="240">
        <f t="shared" si="102"/>
        <v>34</v>
      </c>
      <c r="L244" s="240">
        <f t="shared" si="102"/>
        <v>33</v>
      </c>
      <c r="M244" s="240">
        <f t="shared" si="102"/>
        <v>33</v>
      </c>
      <c r="N244" s="240">
        <f t="shared" si="102"/>
        <v>33</v>
      </c>
      <c r="O244" s="240">
        <f t="shared" si="102"/>
        <v>34</v>
      </c>
      <c r="P244" s="240">
        <f t="shared" si="102"/>
        <v>60</v>
      </c>
      <c r="Q244" s="240">
        <f>SUM(E244:P244)</f>
        <v>428</v>
      </c>
    </row>
    <row r="245" spans="1:17" x14ac:dyDescent="0.2">
      <c r="A245" s="259">
        <f>A244+1</f>
        <v>22</v>
      </c>
      <c r="C245" s="444" t="s">
        <v>567</v>
      </c>
      <c r="E245" s="245">
        <f t="shared" ref="E245:P245" si="103">E944</f>
        <v>188859</v>
      </c>
      <c r="F245" s="245">
        <f t="shared" si="103"/>
        <v>169110.1</v>
      </c>
      <c r="G245" s="245">
        <f t="shared" si="103"/>
        <v>147265.60000000001</v>
      </c>
      <c r="H245" s="245">
        <f t="shared" si="103"/>
        <v>103565.2</v>
      </c>
      <c r="I245" s="245">
        <f t="shared" si="103"/>
        <v>83423.100000000006</v>
      </c>
      <c r="J245" s="245">
        <f t="shared" si="103"/>
        <v>69626.2</v>
      </c>
      <c r="K245" s="245">
        <f t="shared" si="103"/>
        <v>68394.7</v>
      </c>
      <c r="L245" s="245">
        <f t="shared" si="103"/>
        <v>69858.100000000006</v>
      </c>
      <c r="M245" s="245">
        <f t="shared" si="103"/>
        <v>76451.3</v>
      </c>
      <c r="N245" s="245">
        <f t="shared" si="103"/>
        <v>101603.3</v>
      </c>
      <c r="O245" s="245">
        <f t="shared" si="103"/>
        <v>139898.5</v>
      </c>
      <c r="P245" s="245">
        <f t="shared" si="103"/>
        <v>162514.9</v>
      </c>
      <c r="Q245" s="245">
        <f>SUM(E245:P245)</f>
        <v>1380569.9999999998</v>
      </c>
    </row>
    <row r="246" spans="1:17" x14ac:dyDescent="0.2">
      <c r="A246" s="259">
        <f>A245+1</f>
        <v>23</v>
      </c>
      <c r="C246" s="444" t="s">
        <v>221</v>
      </c>
      <c r="E246" s="427">
        <f t="shared" ref="E246:P246" si="104">E951</f>
        <v>201664.77000000002</v>
      </c>
      <c r="F246" s="427">
        <f t="shared" si="104"/>
        <v>171118.49</v>
      </c>
      <c r="G246" s="427">
        <f t="shared" si="104"/>
        <v>157310.59</v>
      </c>
      <c r="H246" s="427">
        <f t="shared" si="104"/>
        <v>129687.56</v>
      </c>
      <c r="I246" s="427">
        <f t="shared" si="104"/>
        <v>116955.73999999999</v>
      </c>
      <c r="J246" s="427">
        <f t="shared" si="104"/>
        <v>108234.72</v>
      </c>
      <c r="K246" s="427">
        <f t="shared" si="104"/>
        <v>111470.29000000001</v>
      </c>
      <c r="L246" s="427">
        <f t="shared" si="104"/>
        <v>110388.31</v>
      </c>
      <c r="M246" s="427">
        <f t="shared" si="104"/>
        <v>114555.87</v>
      </c>
      <c r="N246" s="427">
        <f t="shared" si="104"/>
        <v>130454.45</v>
      </c>
      <c r="O246" s="427">
        <f t="shared" si="104"/>
        <v>156667.84</v>
      </c>
      <c r="P246" s="427">
        <f t="shared" si="104"/>
        <v>223145.66999999998</v>
      </c>
      <c r="Q246" s="427">
        <f>SUM(E246:P246)</f>
        <v>1731654.2999999998</v>
      </c>
    </row>
    <row r="247" spans="1:17" x14ac:dyDescent="0.2">
      <c r="A247" s="259">
        <f>A246+1</f>
        <v>24</v>
      </c>
      <c r="C247" s="444" t="s">
        <v>222</v>
      </c>
      <c r="E247" s="427">
        <f t="shared" ref="E247:P247" si="105">E953</f>
        <v>0</v>
      </c>
      <c r="F247" s="427">
        <f t="shared" si="105"/>
        <v>0</v>
      </c>
      <c r="G247" s="427">
        <f t="shared" si="105"/>
        <v>0</v>
      </c>
      <c r="H247" s="427">
        <f t="shared" si="105"/>
        <v>0</v>
      </c>
      <c r="I247" s="427">
        <f t="shared" si="105"/>
        <v>0</v>
      </c>
      <c r="J247" s="427">
        <f t="shared" si="105"/>
        <v>0</v>
      </c>
      <c r="K247" s="427">
        <f t="shared" si="105"/>
        <v>0</v>
      </c>
      <c r="L247" s="427">
        <f t="shared" si="105"/>
        <v>0</v>
      </c>
      <c r="M247" s="427">
        <f t="shared" si="105"/>
        <v>0</v>
      </c>
      <c r="N247" s="427">
        <f t="shared" si="105"/>
        <v>0</v>
      </c>
      <c r="O247" s="427">
        <f t="shared" si="105"/>
        <v>0</v>
      </c>
      <c r="P247" s="427">
        <f t="shared" si="105"/>
        <v>0</v>
      </c>
      <c r="Q247" s="427">
        <f>SUM(E247:P247)</f>
        <v>0</v>
      </c>
    </row>
    <row r="248" spans="1:17" x14ac:dyDescent="0.2">
      <c r="A248" s="713">
        <f>A247+1</f>
        <v>25</v>
      </c>
      <c r="B248" s="447"/>
      <c r="C248" s="448" t="s">
        <v>568</v>
      </c>
      <c r="D248" s="449"/>
      <c r="E248" s="450">
        <f t="shared" ref="E248:P248" si="106">E955</f>
        <v>201664.77000000002</v>
      </c>
      <c r="F248" s="450">
        <f t="shared" si="106"/>
        <v>171118.49</v>
      </c>
      <c r="G248" s="450">
        <f t="shared" si="106"/>
        <v>157310.59</v>
      </c>
      <c r="H248" s="450">
        <f t="shared" si="106"/>
        <v>129687.56</v>
      </c>
      <c r="I248" s="450">
        <f t="shared" si="106"/>
        <v>116955.73999999999</v>
      </c>
      <c r="J248" s="450">
        <f t="shared" si="106"/>
        <v>108234.72</v>
      </c>
      <c r="K248" s="450">
        <f t="shared" si="106"/>
        <v>111470.29000000001</v>
      </c>
      <c r="L248" s="450">
        <f t="shared" si="106"/>
        <v>110388.31</v>
      </c>
      <c r="M248" s="450">
        <f t="shared" si="106"/>
        <v>114555.87</v>
      </c>
      <c r="N248" s="450">
        <f t="shared" si="106"/>
        <v>130454.45</v>
      </c>
      <c r="O248" s="450">
        <f t="shared" si="106"/>
        <v>156667.84</v>
      </c>
      <c r="P248" s="450">
        <f t="shared" si="106"/>
        <v>223145.66999999998</v>
      </c>
      <c r="Q248" s="450">
        <f>SUM(E248:P248)</f>
        <v>1731654.2999999998</v>
      </c>
    </row>
    <row r="249" spans="1:17" x14ac:dyDescent="0.2">
      <c r="A249" s="615"/>
      <c r="C249" s="455"/>
      <c r="G249" s="290"/>
      <c r="Q249" s="290"/>
    </row>
    <row r="250" spans="1:17" x14ac:dyDescent="0.2">
      <c r="A250" s="259">
        <f>A248+1</f>
        <v>26</v>
      </c>
      <c r="B250" s="219" t="str">
        <f>Input!A45</f>
        <v>DS</v>
      </c>
      <c r="C250" s="219" t="str">
        <f>'Sch M 2.1'!B40</f>
        <v>GTS Delivery Service - Industrial</v>
      </c>
      <c r="G250" s="290"/>
      <c r="Q250" s="290"/>
    </row>
    <row r="251" spans="1:17" x14ac:dyDescent="0.2">
      <c r="A251" s="259">
        <f>A250+1</f>
        <v>27</v>
      </c>
      <c r="C251" s="444" t="s">
        <v>219</v>
      </c>
      <c r="E251" s="240">
        <f t="shared" ref="E251:P251" si="107">E962</f>
        <v>39</v>
      </c>
      <c r="F251" s="240">
        <f t="shared" si="107"/>
        <v>39</v>
      </c>
      <c r="G251" s="240">
        <f t="shared" si="107"/>
        <v>39</v>
      </c>
      <c r="H251" s="240">
        <f t="shared" si="107"/>
        <v>39</v>
      </c>
      <c r="I251" s="240">
        <f t="shared" si="107"/>
        <v>39</v>
      </c>
      <c r="J251" s="240">
        <f t="shared" si="107"/>
        <v>39</v>
      </c>
      <c r="K251" s="240">
        <f t="shared" si="107"/>
        <v>39</v>
      </c>
      <c r="L251" s="240">
        <f t="shared" si="107"/>
        <v>39</v>
      </c>
      <c r="M251" s="240">
        <f t="shared" si="107"/>
        <v>39</v>
      </c>
      <c r="N251" s="240">
        <f t="shared" si="107"/>
        <v>39</v>
      </c>
      <c r="O251" s="240">
        <f t="shared" si="107"/>
        <v>39</v>
      </c>
      <c r="P251" s="240">
        <f t="shared" si="107"/>
        <v>39</v>
      </c>
      <c r="Q251" s="240">
        <f>SUM(E251:P251)</f>
        <v>468</v>
      </c>
    </row>
    <row r="252" spans="1:17" x14ac:dyDescent="0.2">
      <c r="A252" s="259">
        <f>A251+1</f>
        <v>28</v>
      </c>
      <c r="C252" s="444" t="s">
        <v>567</v>
      </c>
      <c r="E252" s="245">
        <f t="shared" ref="E252:P252" si="108">E971</f>
        <v>674909.5</v>
      </c>
      <c r="F252" s="245">
        <f t="shared" si="108"/>
        <v>602578.5</v>
      </c>
      <c r="G252" s="245">
        <f t="shared" si="108"/>
        <v>525440.69999999995</v>
      </c>
      <c r="H252" s="245">
        <f t="shared" si="108"/>
        <v>427583.6</v>
      </c>
      <c r="I252" s="245">
        <f t="shared" si="108"/>
        <v>368992.8</v>
      </c>
      <c r="J252" s="245">
        <f t="shared" si="108"/>
        <v>339504.1</v>
      </c>
      <c r="K252" s="245">
        <f t="shared" si="108"/>
        <v>295115.5</v>
      </c>
      <c r="L252" s="245">
        <f t="shared" si="108"/>
        <v>342173.2</v>
      </c>
      <c r="M252" s="245">
        <f t="shared" si="108"/>
        <v>361661.7</v>
      </c>
      <c r="N252" s="245">
        <f t="shared" si="108"/>
        <v>454356.4</v>
      </c>
      <c r="O252" s="245">
        <f t="shared" si="108"/>
        <v>551432</v>
      </c>
      <c r="P252" s="245">
        <f t="shared" si="108"/>
        <v>573549.4</v>
      </c>
      <c r="Q252" s="245">
        <f>SUM(E252:P252)</f>
        <v>5517297.4000000004</v>
      </c>
    </row>
    <row r="253" spans="1:17" x14ac:dyDescent="0.2">
      <c r="A253" s="259">
        <f>A252+1</f>
        <v>29</v>
      </c>
      <c r="C253" s="444" t="s">
        <v>221</v>
      </c>
      <c r="E253" s="427">
        <f t="shared" ref="E253:P253" si="109">E978</f>
        <v>417755.65</v>
      </c>
      <c r="F253" s="427">
        <f t="shared" si="109"/>
        <v>385664.25</v>
      </c>
      <c r="G253" s="427">
        <f t="shared" si="109"/>
        <v>351770.85</v>
      </c>
      <c r="H253" s="427">
        <f t="shared" si="109"/>
        <v>312088.44</v>
      </c>
      <c r="I253" s="427">
        <f t="shared" si="109"/>
        <v>287596.79999999999</v>
      </c>
      <c r="J253" s="427">
        <f t="shared" si="109"/>
        <v>274688.45999999996</v>
      </c>
      <c r="K253" s="427">
        <f t="shared" si="109"/>
        <v>251446.15</v>
      </c>
      <c r="L253" s="427">
        <f t="shared" si="109"/>
        <v>275628.02</v>
      </c>
      <c r="M253" s="427">
        <f t="shared" si="109"/>
        <v>286202.34999999998</v>
      </c>
      <c r="N253" s="427">
        <f t="shared" si="109"/>
        <v>327315.08</v>
      </c>
      <c r="O253" s="427">
        <f t="shared" si="109"/>
        <v>365808.2</v>
      </c>
      <c r="P253" s="427">
        <f t="shared" si="109"/>
        <v>375571.47000000003</v>
      </c>
      <c r="Q253" s="427">
        <f>SUM(E253:P253)</f>
        <v>3911535.7200000007</v>
      </c>
    </row>
    <row r="254" spans="1:17" x14ac:dyDescent="0.2">
      <c r="A254" s="259">
        <f>A253+1</f>
        <v>30</v>
      </c>
      <c r="C254" s="444" t="s">
        <v>222</v>
      </c>
      <c r="E254" s="427">
        <f t="shared" ref="E254:P254" si="110">E980</f>
        <v>0</v>
      </c>
      <c r="F254" s="427">
        <f t="shared" si="110"/>
        <v>0</v>
      </c>
      <c r="G254" s="427">
        <f t="shared" si="110"/>
        <v>0</v>
      </c>
      <c r="H254" s="427">
        <f t="shared" si="110"/>
        <v>0</v>
      </c>
      <c r="I254" s="427">
        <f t="shared" si="110"/>
        <v>0</v>
      </c>
      <c r="J254" s="427">
        <f t="shared" si="110"/>
        <v>0</v>
      </c>
      <c r="K254" s="427">
        <f t="shared" si="110"/>
        <v>0</v>
      </c>
      <c r="L254" s="427">
        <f t="shared" si="110"/>
        <v>0</v>
      </c>
      <c r="M254" s="427">
        <f t="shared" si="110"/>
        <v>0</v>
      </c>
      <c r="N254" s="427">
        <f t="shared" si="110"/>
        <v>0</v>
      </c>
      <c r="O254" s="427">
        <f t="shared" si="110"/>
        <v>0</v>
      </c>
      <c r="P254" s="427">
        <f t="shared" si="110"/>
        <v>0</v>
      </c>
      <c r="Q254" s="427">
        <f>SUM(E254:P254)</f>
        <v>0</v>
      </c>
    </row>
    <row r="255" spans="1:17" x14ac:dyDescent="0.2">
      <c r="A255" s="713">
        <f>A254+1</f>
        <v>31</v>
      </c>
      <c r="B255" s="447"/>
      <c r="C255" s="448" t="s">
        <v>568</v>
      </c>
      <c r="D255" s="449"/>
      <c r="E255" s="450">
        <f t="shared" ref="E255:P255" si="111">E982</f>
        <v>417755.65</v>
      </c>
      <c r="F255" s="450">
        <f t="shared" si="111"/>
        <v>385664.25</v>
      </c>
      <c r="G255" s="450">
        <f t="shared" si="111"/>
        <v>351770.85</v>
      </c>
      <c r="H255" s="450">
        <f t="shared" si="111"/>
        <v>312088.44</v>
      </c>
      <c r="I255" s="450">
        <f t="shared" si="111"/>
        <v>287596.79999999999</v>
      </c>
      <c r="J255" s="450">
        <f t="shared" si="111"/>
        <v>274688.45999999996</v>
      </c>
      <c r="K255" s="450">
        <f t="shared" si="111"/>
        <v>251446.15</v>
      </c>
      <c r="L255" s="450">
        <f t="shared" si="111"/>
        <v>275628.02</v>
      </c>
      <c r="M255" s="450">
        <f t="shared" si="111"/>
        <v>286202.34999999998</v>
      </c>
      <c r="N255" s="450">
        <f t="shared" si="111"/>
        <v>327315.08</v>
      </c>
      <c r="O255" s="450">
        <f t="shared" si="111"/>
        <v>365808.2</v>
      </c>
      <c r="P255" s="450">
        <f t="shared" si="111"/>
        <v>375571.47000000003</v>
      </c>
      <c r="Q255" s="450">
        <f>SUM(E255:P255)</f>
        <v>3911535.7200000007</v>
      </c>
    </row>
    <row r="256" spans="1:17" x14ac:dyDescent="0.2">
      <c r="G256" s="290"/>
      <c r="Q256" s="290"/>
    </row>
    <row r="257" spans="1:17" x14ac:dyDescent="0.2">
      <c r="A257" s="259">
        <f>A255+1</f>
        <v>32</v>
      </c>
      <c r="B257" s="219" t="str">
        <f>Input!A46</f>
        <v>GDS</v>
      </c>
      <c r="C257" s="219" t="str">
        <f>'Sch M 2.1'!B41</f>
        <v>GTS Grandfathered Delivery Service - Commercial</v>
      </c>
      <c r="G257" s="290"/>
      <c r="Q257" s="290"/>
    </row>
    <row r="258" spans="1:17" x14ac:dyDescent="0.2">
      <c r="A258" s="259">
        <f>A257+1</f>
        <v>33</v>
      </c>
      <c r="C258" s="444" t="s">
        <v>219</v>
      </c>
      <c r="E258" s="240">
        <f t="shared" ref="E258:P258" si="112">E1005</f>
        <v>12</v>
      </c>
      <c r="F258" s="240">
        <f t="shared" si="112"/>
        <v>12</v>
      </c>
      <c r="G258" s="240">
        <f t="shared" si="112"/>
        <v>12</v>
      </c>
      <c r="H258" s="240">
        <f t="shared" si="112"/>
        <v>12</v>
      </c>
      <c r="I258" s="240">
        <f t="shared" si="112"/>
        <v>12</v>
      </c>
      <c r="J258" s="240">
        <f t="shared" si="112"/>
        <v>12</v>
      </c>
      <c r="K258" s="240">
        <f t="shared" si="112"/>
        <v>12</v>
      </c>
      <c r="L258" s="240">
        <f t="shared" si="112"/>
        <v>12</v>
      </c>
      <c r="M258" s="240">
        <f t="shared" si="112"/>
        <v>12</v>
      </c>
      <c r="N258" s="240">
        <f t="shared" si="112"/>
        <v>12</v>
      </c>
      <c r="O258" s="240">
        <f t="shared" si="112"/>
        <v>13</v>
      </c>
      <c r="P258" s="240">
        <f t="shared" si="112"/>
        <v>12</v>
      </c>
      <c r="Q258" s="240">
        <f>SUM(E258:P258)</f>
        <v>145</v>
      </c>
    </row>
    <row r="259" spans="1:17" x14ac:dyDescent="0.2">
      <c r="A259" s="259">
        <f>A258+1</f>
        <v>34</v>
      </c>
      <c r="C259" s="444" t="s">
        <v>567</v>
      </c>
      <c r="E259" s="245">
        <f t="shared" ref="E259:P259" si="113">E1015</f>
        <v>25802.9</v>
      </c>
      <c r="F259" s="245">
        <f t="shared" si="113"/>
        <v>25486</v>
      </c>
      <c r="G259" s="245">
        <f t="shared" si="113"/>
        <v>22066.6</v>
      </c>
      <c r="H259" s="245">
        <f t="shared" si="113"/>
        <v>16282.900000000001</v>
      </c>
      <c r="I259" s="245">
        <f t="shared" si="113"/>
        <v>15072.900000000001</v>
      </c>
      <c r="J259" s="245">
        <f t="shared" si="113"/>
        <v>10869.6</v>
      </c>
      <c r="K259" s="245">
        <f t="shared" si="113"/>
        <v>12145.5</v>
      </c>
      <c r="L259" s="245">
        <f t="shared" si="113"/>
        <v>10637.9</v>
      </c>
      <c r="M259" s="245">
        <f t="shared" si="113"/>
        <v>11242.7</v>
      </c>
      <c r="N259" s="245">
        <f t="shared" si="113"/>
        <v>14420.7</v>
      </c>
      <c r="O259" s="245">
        <f t="shared" si="113"/>
        <v>18455.5</v>
      </c>
      <c r="P259" s="245">
        <f t="shared" si="113"/>
        <v>21147.3</v>
      </c>
      <c r="Q259" s="245">
        <f>SUM(E259:P259)</f>
        <v>203630.5</v>
      </c>
    </row>
    <row r="260" spans="1:17" x14ac:dyDescent="0.2">
      <c r="A260" s="259">
        <f>A259+1</f>
        <v>35</v>
      </c>
      <c r="C260" s="444" t="s">
        <v>221</v>
      </c>
      <c r="E260" s="427">
        <f t="shared" ref="E260:P260" si="114">E1023</f>
        <v>56240.81</v>
      </c>
      <c r="F260" s="427">
        <f t="shared" si="114"/>
        <v>55560.229999999996</v>
      </c>
      <c r="G260" s="427">
        <f t="shared" si="114"/>
        <v>48637.22</v>
      </c>
      <c r="H260" s="427">
        <f t="shared" si="114"/>
        <v>36734.82</v>
      </c>
      <c r="I260" s="427">
        <f t="shared" si="114"/>
        <v>34282.35</v>
      </c>
      <c r="J260" s="427">
        <f t="shared" si="114"/>
        <v>25411.96</v>
      </c>
      <c r="K260" s="427">
        <f t="shared" si="114"/>
        <v>28075.95</v>
      </c>
      <c r="L260" s="427">
        <f t="shared" si="114"/>
        <v>24805.190000000002</v>
      </c>
      <c r="M260" s="427">
        <f t="shared" si="114"/>
        <v>26197.37</v>
      </c>
      <c r="N260" s="427">
        <f t="shared" si="114"/>
        <v>32885.299999999996</v>
      </c>
      <c r="O260" s="427">
        <f t="shared" si="114"/>
        <v>41099.089999999997</v>
      </c>
      <c r="P260" s="427">
        <f t="shared" si="114"/>
        <v>46770.81</v>
      </c>
      <c r="Q260" s="427">
        <f>SUM(E260:P260)</f>
        <v>456701.10000000003</v>
      </c>
    </row>
    <row r="261" spans="1:17" x14ac:dyDescent="0.2">
      <c r="A261" s="259">
        <f>A260+1</f>
        <v>36</v>
      </c>
      <c r="C261" s="444" t="s">
        <v>222</v>
      </c>
      <c r="E261" s="427">
        <f t="shared" ref="E261:P261" si="115">E1025</f>
        <v>0</v>
      </c>
      <c r="F261" s="427">
        <f t="shared" si="115"/>
        <v>0</v>
      </c>
      <c r="G261" s="427">
        <f t="shared" si="115"/>
        <v>0</v>
      </c>
      <c r="H261" s="427">
        <f t="shared" si="115"/>
        <v>0</v>
      </c>
      <c r="I261" s="427">
        <f t="shared" si="115"/>
        <v>0</v>
      </c>
      <c r="J261" s="427">
        <f t="shared" si="115"/>
        <v>0</v>
      </c>
      <c r="K261" s="427">
        <f t="shared" si="115"/>
        <v>0</v>
      </c>
      <c r="L261" s="427">
        <f t="shared" si="115"/>
        <v>0</v>
      </c>
      <c r="M261" s="427">
        <f t="shared" si="115"/>
        <v>0</v>
      </c>
      <c r="N261" s="427">
        <f t="shared" si="115"/>
        <v>0</v>
      </c>
      <c r="O261" s="427">
        <f t="shared" si="115"/>
        <v>0</v>
      </c>
      <c r="P261" s="427">
        <f t="shared" si="115"/>
        <v>0</v>
      </c>
      <c r="Q261" s="427">
        <f>SUM(E261:P261)</f>
        <v>0</v>
      </c>
    </row>
    <row r="262" spans="1:17" x14ac:dyDescent="0.2">
      <c r="A262" s="713">
        <f>A261+1</f>
        <v>37</v>
      </c>
      <c r="B262" s="447"/>
      <c r="C262" s="448" t="s">
        <v>568</v>
      </c>
      <c r="D262" s="449"/>
      <c r="E262" s="450">
        <f t="shared" ref="E262:P262" si="116">E1027</f>
        <v>56240.81</v>
      </c>
      <c r="F262" s="450">
        <f t="shared" si="116"/>
        <v>55560.229999999996</v>
      </c>
      <c r="G262" s="450">
        <f t="shared" si="116"/>
        <v>48637.22</v>
      </c>
      <c r="H262" s="450">
        <f t="shared" si="116"/>
        <v>36734.82</v>
      </c>
      <c r="I262" s="450">
        <f t="shared" si="116"/>
        <v>34282.35</v>
      </c>
      <c r="J262" s="450">
        <f t="shared" si="116"/>
        <v>25411.96</v>
      </c>
      <c r="K262" s="450">
        <f t="shared" si="116"/>
        <v>28075.95</v>
      </c>
      <c r="L262" s="450">
        <f t="shared" si="116"/>
        <v>24805.190000000002</v>
      </c>
      <c r="M262" s="450">
        <f t="shared" si="116"/>
        <v>26197.37</v>
      </c>
      <c r="N262" s="450">
        <f t="shared" si="116"/>
        <v>32885.299999999996</v>
      </c>
      <c r="O262" s="450">
        <f t="shared" si="116"/>
        <v>41099.089999999997</v>
      </c>
      <c r="P262" s="450">
        <f t="shared" si="116"/>
        <v>46770.81</v>
      </c>
      <c r="Q262" s="450">
        <f>SUM(E262:P262)</f>
        <v>456701.10000000003</v>
      </c>
    </row>
    <row r="263" spans="1:17" x14ac:dyDescent="0.2">
      <c r="G263" s="290"/>
      <c r="Q263" s="290"/>
    </row>
    <row r="264" spans="1:17" x14ac:dyDescent="0.2">
      <c r="A264" s="219"/>
      <c r="D264" s="219"/>
      <c r="F264" s="219"/>
      <c r="G264" s="219"/>
      <c r="H264" s="219"/>
      <c r="I264" s="219"/>
      <c r="J264" s="219"/>
      <c r="K264" s="219"/>
      <c r="L264" s="219"/>
      <c r="M264" s="219"/>
      <c r="N264" s="219"/>
      <c r="O264" s="219"/>
      <c r="P264" s="219"/>
    </row>
    <row r="265" spans="1:17" x14ac:dyDescent="0.2">
      <c r="A265" s="622" t="str">
        <f>$A$107</f>
        <v>[1] Reflects Normalized Volumes.</v>
      </c>
      <c r="D265" s="219"/>
      <c r="F265" s="219"/>
      <c r="G265" s="219"/>
      <c r="H265" s="219"/>
      <c r="I265" s="219"/>
      <c r="J265" s="219"/>
      <c r="K265" s="219"/>
      <c r="L265" s="219"/>
      <c r="M265" s="219"/>
      <c r="N265" s="219"/>
      <c r="O265" s="219"/>
      <c r="P265" s="219"/>
    </row>
    <row r="266" spans="1:17" x14ac:dyDescent="0.2">
      <c r="A266" s="622" t="str">
        <f>$A$108</f>
        <v>[2] See Schedule M-2.2 Pages 8 through 21 for detail.</v>
      </c>
      <c r="D266" s="219"/>
      <c r="F266" s="219"/>
      <c r="G266" s="219"/>
      <c r="H266" s="219"/>
      <c r="I266" s="219"/>
      <c r="J266" s="219"/>
      <c r="K266" s="219"/>
      <c r="L266" s="219"/>
      <c r="M266" s="219"/>
      <c r="N266" s="219"/>
      <c r="O266" s="219"/>
      <c r="P266" s="219"/>
    </row>
    <row r="267" spans="1:17" x14ac:dyDescent="0.2">
      <c r="A267" s="993" t="str">
        <f>CONAME</f>
        <v>Columbia Gas of Kentucky, Inc.</v>
      </c>
      <c r="B267" s="993"/>
      <c r="C267" s="993"/>
      <c r="D267" s="993"/>
      <c r="E267" s="993"/>
      <c r="F267" s="993"/>
      <c r="G267" s="993"/>
      <c r="H267" s="993"/>
      <c r="I267" s="993"/>
      <c r="J267" s="993"/>
      <c r="K267" s="993"/>
      <c r="L267" s="993"/>
      <c r="M267" s="993"/>
      <c r="N267" s="993"/>
      <c r="O267" s="993"/>
      <c r="P267" s="993"/>
      <c r="Q267" s="993"/>
    </row>
    <row r="268" spans="1:17" x14ac:dyDescent="0.2">
      <c r="A268" s="981" t="str">
        <f>case</f>
        <v>Case No. 2016-00162</v>
      </c>
      <c r="B268" s="981"/>
      <c r="C268" s="981"/>
      <c r="D268" s="981"/>
      <c r="E268" s="981"/>
      <c r="F268" s="981"/>
      <c r="G268" s="981"/>
      <c r="H268" s="981"/>
      <c r="I268" s="981"/>
      <c r="J268" s="981"/>
      <c r="K268" s="981"/>
      <c r="L268" s="981"/>
      <c r="M268" s="981"/>
      <c r="N268" s="981"/>
      <c r="O268" s="981"/>
      <c r="P268" s="981"/>
      <c r="Q268" s="981"/>
    </row>
    <row r="269" spans="1:17" x14ac:dyDescent="0.2">
      <c r="A269" s="994" t="s">
        <v>200</v>
      </c>
      <c r="B269" s="994"/>
      <c r="C269" s="994"/>
      <c r="D269" s="994"/>
      <c r="E269" s="994"/>
      <c r="F269" s="994"/>
      <c r="G269" s="994"/>
      <c r="H269" s="994"/>
      <c r="I269" s="994"/>
      <c r="J269" s="994"/>
      <c r="K269" s="994"/>
      <c r="L269" s="994"/>
      <c r="M269" s="994"/>
      <c r="N269" s="994"/>
      <c r="O269" s="994"/>
      <c r="P269" s="994"/>
      <c r="Q269" s="994"/>
    </row>
    <row r="270" spans="1:17" x14ac:dyDescent="0.2">
      <c r="A270" s="993" t="str">
        <f>TYDESC</f>
        <v>For the 12 Months Ended December 31, 2017</v>
      </c>
      <c r="B270" s="993"/>
      <c r="C270" s="993"/>
      <c r="D270" s="993"/>
      <c r="E270" s="993"/>
      <c r="F270" s="993"/>
      <c r="G270" s="993"/>
      <c r="H270" s="993"/>
      <c r="I270" s="993"/>
      <c r="J270" s="993"/>
      <c r="K270" s="993"/>
      <c r="L270" s="993"/>
      <c r="M270" s="993"/>
      <c r="N270" s="993"/>
      <c r="O270" s="993"/>
      <c r="P270" s="993"/>
      <c r="Q270" s="993"/>
    </row>
    <row r="271" spans="1:17" x14ac:dyDescent="0.2">
      <c r="A271" s="991" t="s">
        <v>39</v>
      </c>
      <c r="B271" s="991"/>
      <c r="C271" s="991"/>
      <c r="D271" s="991"/>
      <c r="E271" s="991"/>
      <c r="F271" s="991"/>
      <c r="G271" s="991"/>
      <c r="H271" s="991"/>
      <c r="I271" s="991"/>
      <c r="J271" s="991"/>
      <c r="K271" s="991"/>
      <c r="L271" s="991"/>
      <c r="M271" s="991"/>
      <c r="N271" s="991"/>
      <c r="O271" s="991"/>
      <c r="P271" s="991"/>
      <c r="Q271" s="991"/>
    </row>
    <row r="272" spans="1:17" x14ac:dyDescent="0.2">
      <c r="A272" s="711" t="str">
        <f>$A$52</f>
        <v>Data: __ Base Period _X_ Forecasted Period</v>
      </c>
    </row>
    <row r="273" spans="1:17" x14ac:dyDescent="0.2">
      <c r="A273" s="711" t="str">
        <f>$A$53</f>
        <v>Type of Filing: X Original _ Update _ Revised</v>
      </c>
      <c r="Q273" s="413" t="str">
        <f>$Q$53</f>
        <v>Schedule M-2.3</v>
      </c>
    </row>
    <row r="274" spans="1:17" x14ac:dyDescent="0.2">
      <c r="A274" s="711" t="str">
        <f>$A$54</f>
        <v>Work Paper Reference No(s):</v>
      </c>
      <c r="Q274" s="413" t="s">
        <v>500</v>
      </c>
    </row>
    <row r="275" spans="1:17" x14ac:dyDescent="0.2">
      <c r="A275" s="712" t="str">
        <f>$A$55</f>
        <v>12 Months Forecasted</v>
      </c>
      <c r="Q275" s="413" t="str">
        <f>Witness</f>
        <v>Witness:  M. J. Bell</v>
      </c>
    </row>
    <row r="276" spans="1:17" x14ac:dyDescent="0.2">
      <c r="A276" s="992" t="s">
        <v>293</v>
      </c>
      <c r="B276" s="992"/>
      <c r="C276" s="992"/>
      <c r="D276" s="992"/>
      <c r="E276" s="992"/>
      <c r="F276" s="992"/>
      <c r="G276" s="992"/>
      <c r="H276" s="992"/>
      <c r="I276" s="992"/>
      <c r="J276" s="992"/>
      <c r="K276" s="992"/>
      <c r="L276" s="992"/>
      <c r="M276" s="992"/>
      <c r="N276" s="992"/>
      <c r="O276" s="992"/>
      <c r="P276" s="992"/>
      <c r="Q276" s="992"/>
    </row>
    <row r="277" spans="1:17" x14ac:dyDescent="0.2">
      <c r="A277" s="225"/>
      <c r="B277" s="301"/>
      <c r="C277" s="301"/>
      <c r="D277" s="300"/>
      <c r="E277" s="301"/>
      <c r="F277" s="415"/>
      <c r="G277" s="435"/>
      <c r="H277" s="415"/>
      <c r="I277" s="436"/>
      <c r="J277" s="415"/>
      <c r="K277" s="415"/>
      <c r="L277" s="415"/>
      <c r="M277" s="415"/>
      <c r="N277" s="415"/>
      <c r="O277" s="415"/>
      <c r="P277" s="415"/>
      <c r="Q277" s="301"/>
    </row>
    <row r="278" spans="1:17" x14ac:dyDescent="0.2">
      <c r="A278" s="410" t="s">
        <v>1</v>
      </c>
      <c r="B278" s="224" t="s">
        <v>0</v>
      </c>
      <c r="C278" s="224" t="s">
        <v>41</v>
      </c>
      <c r="D278" s="416" t="s">
        <v>30</v>
      </c>
      <c r="E278" s="417"/>
      <c r="F278" s="418"/>
      <c r="G278" s="417"/>
      <c r="H278" s="419"/>
      <c r="I278" s="417"/>
      <c r="J278" s="417"/>
      <c r="K278" s="417"/>
      <c r="L278" s="417"/>
      <c r="M278" s="417"/>
      <c r="N278" s="417"/>
      <c r="O278" s="229"/>
      <c r="P278" s="229"/>
      <c r="Q278" s="229"/>
    </row>
    <row r="279" spans="1:17" x14ac:dyDescent="0.2">
      <c r="A279" s="281" t="s">
        <v>3</v>
      </c>
      <c r="B279" s="226" t="s">
        <v>40</v>
      </c>
      <c r="C279" s="226" t="s">
        <v>4</v>
      </c>
      <c r="D279" s="420" t="s">
        <v>48</v>
      </c>
      <c r="E279" s="421" t="str">
        <f>B!$D$11</f>
        <v>Jan-17</v>
      </c>
      <c r="F279" s="421" t="str">
        <f>B!$E$11</f>
        <v>Feb-17</v>
      </c>
      <c r="G279" s="421" t="str">
        <f>B!$F$11</f>
        <v>Mar-17</v>
      </c>
      <c r="H279" s="421" t="str">
        <f>B!$G$11</f>
        <v>Apr-17</v>
      </c>
      <c r="I279" s="421" t="str">
        <f>B!$H$11</f>
        <v>May-17</v>
      </c>
      <c r="J279" s="421" t="str">
        <f>B!$I$11</f>
        <v>Jun-17</v>
      </c>
      <c r="K279" s="421" t="str">
        <f>B!$J$11</f>
        <v>Jul-17</v>
      </c>
      <c r="L279" s="421" t="str">
        <f>B!$K$11</f>
        <v>Aug-17</v>
      </c>
      <c r="M279" s="421" t="str">
        <f>B!$L$11</f>
        <v>Sep-17</v>
      </c>
      <c r="N279" s="421" t="str">
        <f>B!$M$11</f>
        <v>Oct-17</v>
      </c>
      <c r="O279" s="421" t="str">
        <f>B!$N$11</f>
        <v>Nov-17</v>
      </c>
      <c r="P279" s="421" t="str">
        <f>B!$O$11</f>
        <v>Dec-17</v>
      </c>
      <c r="Q279" s="422" t="s">
        <v>9</v>
      </c>
    </row>
    <row r="280" spans="1:17" x14ac:dyDescent="0.2">
      <c r="A280" s="410"/>
      <c r="B280" s="229" t="s">
        <v>42</v>
      </c>
      <c r="C280" s="229" t="s">
        <v>43</v>
      </c>
      <c r="D280" s="423" t="s">
        <v>45</v>
      </c>
      <c r="E280" s="424" t="s">
        <v>46</v>
      </c>
      <c r="F280" s="424" t="s">
        <v>49</v>
      </c>
      <c r="G280" s="424" t="s">
        <v>50</v>
      </c>
      <c r="H280" s="424" t="s">
        <v>51</v>
      </c>
      <c r="I280" s="424" t="s">
        <v>52</v>
      </c>
      <c r="J280" s="425" t="s">
        <v>53</v>
      </c>
      <c r="K280" s="425" t="s">
        <v>54</v>
      </c>
      <c r="L280" s="425" t="s">
        <v>55</v>
      </c>
      <c r="M280" s="425" t="s">
        <v>56</v>
      </c>
      <c r="N280" s="425" t="s">
        <v>57</v>
      </c>
      <c r="O280" s="425" t="s">
        <v>58</v>
      </c>
      <c r="P280" s="425" t="s">
        <v>59</v>
      </c>
      <c r="Q280" s="425" t="s">
        <v>203</v>
      </c>
    </row>
    <row r="281" spans="1:17" x14ac:dyDescent="0.2">
      <c r="E281" s="229"/>
      <c r="F281" s="425"/>
      <c r="G281" s="437"/>
      <c r="H281" s="425"/>
      <c r="I281" s="424"/>
      <c r="J281" s="425"/>
      <c r="K281" s="425"/>
      <c r="L281" s="425"/>
      <c r="M281" s="425"/>
      <c r="N281" s="425"/>
      <c r="O281" s="425"/>
      <c r="P281" s="425"/>
      <c r="Q281" s="229"/>
    </row>
    <row r="283" spans="1:17" x14ac:dyDescent="0.2">
      <c r="A283" s="259">
        <v>1</v>
      </c>
      <c r="C283" s="438" t="s">
        <v>95</v>
      </c>
    </row>
    <row r="285" spans="1:17" x14ac:dyDescent="0.2">
      <c r="A285" s="259">
        <f>A283+1</f>
        <v>2</v>
      </c>
      <c r="B285" s="219" t="str">
        <f>Input!A47</f>
        <v>GDS</v>
      </c>
      <c r="C285" s="219" t="str">
        <f>'Sch M 2.1'!B42</f>
        <v>GTS Grandfathered Delivery Service - Industrial</v>
      </c>
      <c r="G285" s="290"/>
      <c r="Q285" s="290"/>
    </row>
    <row r="286" spans="1:17" x14ac:dyDescent="0.2">
      <c r="A286" s="259">
        <f>A285+1</f>
        <v>3</v>
      </c>
      <c r="C286" s="444" t="s">
        <v>219</v>
      </c>
      <c r="E286" s="240">
        <f t="shared" ref="E286:P286" si="117">E1033</f>
        <v>15</v>
      </c>
      <c r="F286" s="240">
        <f t="shared" si="117"/>
        <v>15</v>
      </c>
      <c r="G286" s="240">
        <f t="shared" si="117"/>
        <v>15</v>
      </c>
      <c r="H286" s="240">
        <f t="shared" si="117"/>
        <v>15</v>
      </c>
      <c r="I286" s="240">
        <f t="shared" si="117"/>
        <v>15</v>
      </c>
      <c r="J286" s="240">
        <f t="shared" si="117"/>
        <v>15</v>
      </c>
      <c r="K286" s="240">
        <f t="shared" si="117"/>
        <v>15</v>
      </c>
      <c r="L286" s="240">
        <f t="shared" si="117"/>
        <v>15</v>
      </c>
      <c r="M286" s="240">
        <f t="shared" si="117"/>
        <v>15</v>
      </c>
      <c r="N286" s="240">
        <f t="shared" si="117"/>
        <v>15</v>
      </c>
      <c r="O286" s="240">
        <f t="shared" si="117"/>
        <v>15</v>
      </c>
      <c r="P286" s="240">
        <f t="shared" si="117"/>
        <v>15</v>
      </c>
      <c r="Q286" s="240">
        <f>SUM(E286:P286)</f>
        <v>180</v>
      </c>
    </row>
    <row r="287" spans="1:17" x14ac:dyDescent="0.2">
      <c r="A287" s="259">
        <f>A286+1</f>
        <v>4</v>
      </c>
      <c r="C287" s="444" t="s">
        <v>567</v>
      </c>
      <c r="E287" s="245">
        <f t="shared" ref="E287:P287" si="118">E1043</f>
        <v>17844.3</v>
      </c>
      <c r="F287" s="245">
        <f t="shared" si="118"/>
        <v>16829.3</v>
      </c>
      <c r="G287" s="245">
        <f t="shared" si="118"/>
        <v>19051.3</v>
      </c>
      <c r="H287" s="245">
        <f t="shared" si="118"/>
        <v>14067.2</v>
      </c>
      <c r="I287" s="245">
        <f t="shared" si="118"/>
        <v>13118.3</v>
      </c>
      <c r="J287" s="245">
        <f t="shared" si="118"/>
        <v>8875.7000000000007</v>
      </c>
      <c r="K287" s="245">
        <f t="shared" si="118"/>
        <v>8048.4</v>
      </c>
      <c r="L287" s="245">
        <f t="shared" si="118"/>
        <v>9066.7999999999993</v>
      </c>
      <c r="M287" s="245">
        <f t="shared" si="118"/>
        <v>9786.2999999999993</v>
      </c>
      <c r="N287" s="245">
        <f t="shared" si="118"/>
        <v>10096.700000000001</v>
      </c>
      <c r="O287" s="245">
        <f t="shared" si="118"/>
        <v>12703</v>
      </c>
      <c r="P287" s="245">
        <f t="shared" si="118"/>
        <v>14980.599999999999</v>
      </c>
      <c r="Q287" s="245">
        <f>SUM(E287:P287)</f>
        <v>154467.9</v>
      </c>
    </row>
    <row r="288" spans="1:17" x14ac:dyDescent="0.2">
      <c r="A288" s="259">
        <f>A287+1</f>
        <v>5</v>
      </c>
      <c r="C288" s="444" t="s">
        <v>221</v>
      </c>
      <c r="E288" s="427">
        <f t="shared" ref="E288:P288" si="119">E1051</f>
        <v>39848.239999999998</v>
      </c>
      <c r="F288" s="427">
        <f t="shared" si="119"/>
        <v>37858.85</v>
      </c>
      <c r="G288" s="427">
        <f t="shared" si="119"/>
        <v>42823.59</v>
      </c>
      <c r="H288" s="427">
        <f t="shared" si="119"/>
        <v>32403.479999999996</v>
      </c>
      <c r="I288" s="427">
        <f t="shared" si="119"/>
        <v>30028.55</v>
      </c>
      <c r="J288" s="427">
        <f t="shared" si="119"/>
        <v>20591.32</v>
      </c>
      <c r="K288" s="427">
        <f t="shared" si="119"/>
        <v>18919.75</v>
      </c>
      <c r="L288" s="427">
        <f t="shared" si="119"/>
        <v>21221.11</v>
      </c>
      <c r="M288" s="427">
        <f t="shared" si="119"/>
        <v>22661.51</v>
      </c>
      <c r="N288" s="427">
        <f t="shared" si="119"/>
        <v>23435.859999999997</v>
      </c>
      <c r="O288" s="427">
        <f t="shared" si="119"/>
        <v>29147.32</v>
      </c>
      <c r="P288" s="427">
        <f t="shared" si="119"/>
        <v>34116.19</v>
      </c>
      <c r="Q288" s="427">
        <f>SUM(E288:P288)</f>
        <v>353055.76999999996</v>
      </c>
    </row>
    <row r="289" spans="1:17" x14ac:dyDescent="0.2">
      <c r="A289" s="259">
        <f>A288+1</f>
        <v>6</v>
      </c>
      <c r="C289" s="444" t="s">
        <v>222</v>
      </c>
      <c r="E289" s="427">
        <f t="shared" ref="E289:P289" si="120">E1053</f>
        <v>0</v>
      </c>
      <c r="F289" s="427">
        <f t="shared" si="120"/>
        <v>0</v>
      </c>
      <c r="G289" s="427">
        <f t="shared" si="120"/>
        <v>0</v>
      </c>
      <c r="H289" s="427">
        <f t="shared" si="120"/>
        <v>0</v>
      </c>
      <c r="I289" s="427">
        <f t="shared" si="120"/>
        <v>0</v>
      </c>
      <c r="J289" s="427">
        <f t="shared" si="120"/>
        <v>0</v>
      </c>
      <c r="K289" s="427">
        <f t="shared" si="120"/>
        <v>0</v>
      </c>
      <c r="L289" s="427">
        <f t="shared" si="120"/>
        <v>0</v>
      </c>
      <c r="M289" s="427">
        <f t="shared" si="120"/>
        <v>0</v>
      </c>
      <c r="N289" s="427">
        <f t="shared" si="120"/>
        <v>0</v>
      </c>
      <c r="O289" s="427">
        <f t="shared" si="120"/>
        <v>0</v>
      </c>
      <c r="P289" s="427">
        <f t="shared" si="120"/>
        <v>0</v>
      </c>
      <c r="Q289" s="427">
        <f>SUM(E289:P289)</f>
        <v>0</v>
      </c>
    </row>
    <row r="290" spans="1:17" x14ac:dyDescent="0.2">
      <c r="A290" s="713">
        <f>A289+1</f>
        <v>7</v>
      </c>
      <c r="B290" s="447"/>
      <c r="C290" s="448" t="s">
        <v>568</v>
      </c>
      <c r="D290" s="449"/>
      <c r="E290" s="450">
        <f t="shared" ref="E290:P290" si="121">E1055</f>
        <v>39848.239999999998</v>
      </c>
      <c r="F290" s="450">
        <f t="shared" si="121"/>
        <v>37858.85</v>
      </c>
      <c r="G290" s="450">
        <f t="shared" si="121"/>
        <v>42823.59</v>
      </c>
      <c r="H290" s="450">
        <f t="shared" si="121"/>
        <v>32403.479999999996</v>
      </c>
      <c r="I290" s="450">
        <f t="shared" si="121"/>
        <v>30028.55</v>
      </c>
      <c r="J290" s="450">
        <f t="shared" si="121"/>
        <v>20591.32</v>
      </c>
      <c r="K290" s="450">
        <f t="shared" si="121"/>
        <v>18919.75</v>
      </c>
      <c r="L290" s="450">
        <f t="shared" si="121"/>
        <v>21221.11</v>
      </c>
      <c r="M290" s="450">
        <f t="shared" si="121"/>
        <v>22661.51</v>
      </c>
      <c r="N290" s="450">
        <f t="shared" si="121"/>
        <v>23435.859999999997</v>
      </c>
      <c r="O290" s="450">
        <f t="shared" si="121"/>
        <v>29147.32</v>
      </c>
      <c r="P290" s="450">
        <f t="shared" si="121"/>
        <v>34116.19</v>
      </c>
      <c r="Q290" s="450">
        <f>SUM(E290:P290)</f>
        <v>353055.76999999996</v>
      </c>
    </row>
    <row r="291" spans="1:17" x14ac:dyDescent="0.2">
      <c r="A291" s="615"/>
      <c r="B291" s="301"/>
      <c r="C291" s="455"/>
      <c r="D291" s="300"/>
      <c r="E291" s="486"/>
      <c r="F291" s="486"/>
      <c r="G291" s="486"/>
      <c r="H291" s="486"/>
      <c r="I291" s="486"/>
      <c r="J291" s="486"/>
      <c r="K291" s="486"/>
      <c r="L291" s="486"/>
      <c r="M291" s="486"/>
      <c r="N291" s="486"/>
      <c r="O291" s="486"/>
      <c r="P291" s="486"/>
      <c r="Q291" s="486"/>
    </row>
    <row r="292" spans="1:17" x14ac:dyDescent="0.2">
      <c r="A292" s="259">
        <f>A290+1</f>
        <v>8</v>
      </c>
      <c r="B292" s="219" t="str">
        <f>Input!A48</f>
        <v>DS3</v>
      </c>
      <c r="C292" s="219" t="str">
        <f>'Sch M 2.1'!B43</f>
        <v>GTS Main Line Service - Industrial</v>
      </c>
      <c r="G292" s="290"/>
      <c r="Q292" s="290"/>
    </row>
    <row r="293" spans="1:17" x14ac:dyDescent="0.2">
      <c r="A293" s="259">
        <f>A292+1</f>
        <v>9</v>
      </c>
      <c r="C293" s="444" t="s">
        <v>219</v>
      </c>
      <c r="E293" s="240">
        <f t="shared" ref="E293:P293" si="122">E1078</f>
        <v>3</v>
      </c>
      <c r="F293" s="240">
        <f t="shared" si="122"/>
        <v>3</v>
      </c>
      <c r="G293" s="240">
        <f t="shared" si="122"/>
        <v>3</v>
      </c>
      <c r="H293" s="240">
        <f t="shared" si="122"/>
        <v>3</v>
      </c>
      <c r="I293" s="240">
        <f t="shared" si="122"/>
        <v>3</v>
      </c>
      <c r="J293" s="240">
        <f t="shared" si="122"/>
        <v>3</v>
      </c>
      <c r="K293" s="240">
        <f t="shared" si="122"/>
        <v>3</v>
      </c>
      <c r="L293" s="240">
        <f t="shared" si="122"/>
        <v>3</v>
      </c>
      <c r="M293" s="240">
        <f t="shared" si="122"/>
        <v>3</v>
      </c>
      <c r="N293" s="240">
        <f t="shared" si="122"/>
        <v>3</v>
      </c>
      <c r="O293" s="240">
        <f t="shared" si="122"/>
        <v>3</v>
      </c>
      <c r="P293" s="240">
        <f t="shared" si="122"/>
        <v>3</v>
      </c>
      <c r="Q293" s="240">
        <f>SUM(E293:P293)</f>
        <v>36</v>
      </c>
    </row>
    <row r="294" spans="1:17" x14ac:dyDescent="0.2">
      <c r="A294" s="259">
        <f>A293+1</f>
        <v>10</v>
      </c>
      <c r="C294" s="444" t="s">
        <v>567</v>
      </c>
      <c r="E294" s="245">
        <f t="shared" ref="E294:P294" si="123">E1082</f>
        <v>58289</v>
      </c>
      <c r="F294" s="245">
        <f t="shared" si="123"/>
        <v>56724</v>
      </c>
      <c r="G294" s="245">
        <f t="shared" si="123"/>
        <v>56724</v>
      </c>
      <c r="H294" s="245">
        <f t="shared" si="123"/>
        <v>57213</v>
      </c>
      <c r="I294" s="245">
        <f t="shared" si="123"/>
        <v>57995</v>
      </c>
      <c r="J294" s="245">
        <f t="shared" si="123"/>
        <v>58484</v>
      </c>
      <c r="K294" s="245">
        <f t="shared" si="123"/>
        <v>55942</v>
      </c>
      <c r="L294" s="245">
        <f t="shared" si="123"/>
        <v>54866</v>
      </c>
      <c r="M294" s="245">
        <f t="shared" si="123"/>
        <v>55746</v>
      </c>
      <c r="N294" s="245">
        <f t="shared" si="123"/>
        <v>58093</v>
      </c>
      <c r="O294" s="245">
        <f t="shared" si="123"/>
        <v>57604</v>
      </c>
      <c r="P294" s="245">
        <f t="shared" si="123"/>
        <v>53301</v>
      </c>
      <c r="Q294" s="245">
        <f>SUM(E294:P294)</f>
        <v>680981</v>
      </c>
    </row>
    <row r="295" spans="1:17" x14ac:dyDescent="0.2">
      <c r="A295" s="259">
        <f>A294+1</f>
        <v>11</v>
      </c>
      <c r="C295" s="444" t="s">
        <v>221</v>
      </c>
      <c r="E295" s="427">
        <f t="shared" ref="E295:P295" si="124">E1085</f>
        <v>5768.9</v>
      </c>
      <c r="F295" s="427">
        <f t="shared" si="124"/>
        <v>5634.62</v>
      </c>
      <c r="G295" s="427">
        <f t="shared" si="124"/>
        <v>5634.62</v>
      </c>
      <c r="H295" s="427">
        <f t="shared" si="124"/>
        <v>5676.58</v>
      </c>
      <c r="I295" s="427">
        <f t="shared" si="124"/>
        <v>5743.67</v>
      </c>
      <c r="J295" s="427">
        <f t="shared" si="124"/>
        <v>5785.63</v>
      </c>
      <c r="K295" s="427">
        <f t="shared" si="124"/>
        <v>5567.5199999999995</v>
      </c>
      <c r="L295" s="427">
        <f t="shared" si="124"/>
        <v>5475.2</v>
      </c>
      <c r="M295" s="427">
        <f t="shared" si="124"/>
        <v>5550.71</v>
      </c>
      <c r="N295" s="427">
        <f t="shared" si="124"/>
        <v>5752.08</v>
      </c>
      <c r="O295" s="427">
        <f t="shared" si="124"/>
        <v>5710.12</v>
      </c>
      <c r="P295" s="427">
        <f t="shared" si="124"/>
        <v>5340.9299999999994</v>
      </c>
      <c r="Q295" s="427">
        <f>SUM(E295:P295)</f>
        <v>67640.579999999987</v>
      </c>
    </row>
    <row r="296" spans="1:17" x14ac:dyDescent="0.2">
      <c r="A296" s="259">
        <f>A295+1</f>
        <v>12</v>
      </c>
      <c r="C296" s="444" t="s">
        <v>222</v>
      </c>
      <c r="E296" s="427">
        <f t="shared" ref="E296:P296" si="125">E1087</f>
        <v>0</v>
      </c>
      <c r="F296" s="427">
        <f t="shared" si="125"/>
        <v>0</v>
      </c>
      <c r="G296" s="427">
        <f t="shared" si="125"/>
        <v>0</v>
      </c>
      <c r="H296" s="427">
        <f t="shared" si="125"/>
        <v>0</v>
      </c>
      <c r="I296" s="427">
        <f t="shared" si="125"/>
        <v>0</v>
      </c>
      <c r="J296" s="427">
        <f t="shared" si="125"/>
        <v>0</v>
      </c>
      <c r="K296" s="427">
        <f t="shared" si="125"/>
        <v>0</v>
      </c>
      <c r="L296" s="427">
        <f t="shared" si="125"/>
        <v>0</v>
      </c>
      <c r="M296" s="427">
        <f t="shared" si="125"/>
        <v>0</v>
      </c>
      <c r="N296" s="427">
        <f t="shared" si="125"/>
        <v>0</v>
      </c>
      <c r="O296" s="427">
        <f t="shared" si="125"/>
        <v>0</v>
      </c>
      <c r="P296" s="427">
        <f t="shared" si="125"/>
        <v>0</v>
      </c>
      <c r="Q296" s="427">
        <f>SUM(E296:P296)</f>
        <v>0</v>
      </c>
    </row>
    <row r="297" spans="1:17" x14ac:dyDescent="0.2">
      <c r="A297" s="713">
        <f>A296+1</f>
        <v>13</v>
      </c>
      <c r="B297" s="447"/>
      <c r="C297" s="448" t="s">
        <v>568</v>
      </c>
      <c r="D297" s="449"/>
      <c r="E297" s="450">
        <f t="shared" ref="E297:P297" si="126">E1089</f>
        <v>5768.9</v>
      </c>
      <c r="F297" s="450">
        <f t="shared" si="126"/>
        <v>5634.62</v>
      </c>
      <c r="G297" s="450">
        <f t="shared" si="126"/>
        <v>5634.62</v>
      </c>
      <c r="H297" s="450">
        <f t="shared" si="126"/>
        <v>5676.58</v>
      </c>
      <c r="I297" s="450">
        <f t="shared" si="126"/>
        <v>5743.67</v>
      </c>
      <c r="J297" s="450">
        <f t="shared" si="126"/>
        <v>5785.63</v>
      </c>
      <c r="K297" s="450">
        <f t="shared" si="126"/>
        <v>5567.5199999999995</v>
      </c>
      <c r="L297" s="450">
        <f t="shared" si="126"/>
        <v>5475.2</v>
      </c>
      <c r="M297" s="450">
        <f t="shared" si="126"/>
        <v>5550.71</v>
      </c>
      <c r="N297" s="450">
        <f t="shared" si="126"/>
        <v>5752.08</v>
      </c>
      <c r="O297" s="450">
        <f t="shared" si="126"/>
        <v>5710.12</v>
      </c>
      <c r="P297" s="450">
        <f t="shared" si="126"/>
        <v>5340.9299999999994</v>
      </c>
      <c r="Q297" s="450">
        <f>SUM(E297:P297)</f>
        <v>67640.579999999987</v>
      </c>
    </row>
    <row r="299" spans="1:17" x14ac:dyDescent="0.2">
      <c r="A299" s="259">
        <f>A297+1</f>
        <v>14</v>
      </c>
      <c r="B299" s="219" t="str">
        <f>Input!A49</f>
        <v>FX1</v>
      </c>
      <c r="C299" s="219" t="str">
        <f>'Sch M 2.1'!B44</f>
        <v>GTS Flex Rate - Commercial</v>
      </c>
      <c r="G299" s="290"/>
      <c r="Q299" s="290"/>
    </row>
    <row r="300" spans="1:17" x14ac:dyDescent="0.2">
      <c r="A300" s="259">
        <f>A299+1</f>
        <v>15</v>
      </c>
      <c r="C300" s="444" t="s">
        <v>219</v>
      </c>
      <c r="E300" s="240">
        <f t="shared" ref="E300:P300" si="127">E1096</f>
        <v>1</v>
      </c>
      <c r="F300" s="240">
        <f t="shared" si="127"/>
        <v>1</v>
      </c>
      <c r="G300" s="240">
        <f t="shared" si="127"/>
        <v>1</v>
      </c>
      <c r="H300" s="240">
        <f t="shared" si="127"/>
        <v>1</v>
      </c>
      <c r="I300" s="240">
        <f t="shared" si="127"/>
        <v>1</v>
      </c>
      <c r="J300" s="240">
        <f t="shared" si="127"/>
        <v>1</v>
      </c>
      <c r="K300" s="240">
        <f t="shared" si="127"/>
        <v>1</v>
      </c>
      <c r="L300" s="240">
        <f t="shared" si="127"/>
        <v>1</v>
      </c>
      <c r="M300" s="240">
        <f t="shared" si="127"/>
        <v>1</v>
      </c>
      <c r="N300" s="240">
        <f t="shared" si="127"/>
        <v>1</v>
      </c>
      <c r="O300" s="240">
        <f t="shared" si="127"/>
        <v>1</v>
      </c>
      <c r="P300" s="240">
        <f t="shared" si="127"/>
        <v>1</v>
      </c>
      <c r="Q300" s="240">
        <f>SUM(E300:P300)</f>
        <v>12</v>
      </c>
    </row>
    <row r="301" spans="1:17" x14ac:dyDescent="0.2">
      <c r="A301" s="259">
        <f>A300+1</f>
        <v>16</v>
      </c>
      <c r="C301" s="444" t="s">
        <v>567</v>
      </c>
      <c r="E301" s="245">
        <f t="shared" ref="E301:P301" si="128">E1100</f>
        <v>74328</v>
      </c>
      <c r="F301" s="245">
        <f t="shared" si="128"/>
        <v>58680</v>
      </c>
      <c r="G301" s="245">
        <f t="shared" si="128"/>
        <v>70416</v>
      </c>
      <c r="H301" s="245">
        <f t="shared" si="128"/>
        <v>34230</v>
      </c>
      <c r="I301" s="245">
        <f t="shared" si="128"/>
        <v>29340</v>
      </c>
      <c r="J301" s="245">
        <f t="shared" si="128"/>
        <v>29340</v>
      </c>
      <c r="K301" s="245">
        <f t="shared" si="128"/>
        <v>29340</v>
      </c>
      <c r="L301" s="245">
        <f t="shared" si="128"/>
        <v>29340</v>
      </c>
      <c r="M301" s="245">
        <f t="shared" si="128"/>
        <v>34230</v>
      </c>
      <c r="N301" s="245">
        <f t="shared" si="128"/>
        <v>39120</v>
      </c>
      <c r="O301" s="245">
        <f t="shared" si="128"/>
        <v>49878</v>
      </c>
      <c r="P301" s="245">
        <f t="shared" si="128"/>
        <v>63570</v>
      </c>
      <c r="Q301" s="245">
        <f>SUM(E301:P301)</f>
        <v>541812</v>
      </c>
    </row>
    <row r="302" spans="1:17" x14ac:dyDescent="0.2">
      <c r="A302" s="259">
        <f>A301+1</f>
        <v>17</v>
      </c>
      <c r="C302" s="444" t="s">
        <v>221</v>
      </c>
      <c r="E302" s="427">
        <f t="shared" ref="E302:P302" si="129">E1103</f>
        <v>30050.87</v>
      </c>
      <c r="F302" s="427">
        <f t="shared" si="129"/>
        <v>23948.15</v>
      </c>
      <c r="G302" s="427">
        <f t="shared" si="129"/>
        <v>28525.190000000002</v>
      </c>
      <c r="H302" s="427">
        <f t="shared" si="129"/>
        <v>14412.650000000001</v>
      </c>
      <c r="I302" s="427">
        <f t="shared" si="129"/>
        <v>12505.550000000001</v>
      </c>
      <c r="J302" s="427">
        <f t="shared" si="129"/>
        <v>12505.550000000001</v>
      </c>
      <c r="K302" s="427">
        <f t="shared" si="129"/>
        <v>12505.550000000001</v>
      </c>
      <c r="L302" s="427">
        <f t="shared" si="129"/>
        <v>12505.550000000001</v>
      </c>
      <c r="M302" s="427">
        <f t="shared" si="129"/>
        <v>14412.650000000001</v>
      </c>
      <c r="N302" s="427">
        <f t="shared" si="129"/>
        <v>16319.75</v>
      </c>
      <c r="O302" s="427">
        <f t="shared" si="129"/>
        <v>20515.37</v>
      </c>
      <c r="P302" s="427">
        <f t="shared" si="129"/>
        <v>25855.25</v>
      </c>
      <c r="Q302" s="427">
        <f>SUM(E302:P302)</f>
        <v>224062.07999999999</v>
      </c>
    </row>
    <row r="303" spans="1:17" x14ac:dyDescent="0.2">
      <c r="A303" s="259">
        <f>A302+1</f>
        <v>18</v>
      </c>
      <c r="C303" s="444" t="s">
        <v>222</v>
      </c>
      <c r="E303" s="427">
        <f t="shared" ref="E303:P303" si="130">E1105</f>
        <v>0</v>
      </c>
      <c r="F303" s="427">
        <f t="shared" si="130"/>
        <v>0</v>
      </c>
      <c r="G303" s="427">
        <f t="shared" si="130"/>
        <v>0</v>
      </c>
      <c r="H303" s="427">
        <f t="shared" si="130"/>
        <v>0</v>
      </c>
      <c r="I303" s="427">
        <f t="shared" si="130"/>
        <v>0</v>
      </c>
      <c r="J303" s="427">
        <f t="shared" si="130"/>
        <v>0</v>
      </c>
      <c r="K303" s="427">
        <f t="shared" si="130"/>
        <v>0</v>
      </c>
      <c r="L303" s="427">
        <f t="shared" si="130"/>
        <v>0</v>
      </c>
      <c r="M303" s="427">
        <f t="shared" si="130"/>
        <v>0</v>
      </c>
      <c r="N303" s="427">
        <f t="shared" si="130"/>
        <v>0</v>
      </c>
      <c r="O303" s="427">
        <f t="shared" si="130"/>
        <v>0</v>
      </c>
      <c r="P303" s="427">
        <f t="shared" si="130"/>
        <v>0</v>
      </c>
      <c r="Q303" s="427">
        <f>SUM(E303:P303)</f>
        <v>0</v>
      </c>
    </row>
    <row r="304" spans="1:17" x14ac:dyDescent="0.2">
      <c r="A304" s="713">
        <f>A303+1</f>
        <v>19</v>
      </c>
      <c r="B304" s="447"/>
      <c r="C304" s="448" t="s">
        <v>568</v>
      </c>
      <c r="D304" s="449"/>
      <c r="E304" s="450">
        <f t="shared" ref="E304:P304" si="131">E1107</f>
        <v>30050.87</v>
      </c>
      <c r="F304" s="450">
        <f t="shared" si="131"/>
        <v>23948.15</v>
      </c>
      <c r="G304" s="450">
        <f t="shared" si="131"/>
        <v>28525.190000000002</v>
      </c>
      <c r="H304" s="450">
        <f t="shared" si="131"/>
        <v>14412.650000000001</v>
      </c>
      <c r="I304" s="450">
        <f t="shared" si="131"/>
        <v>12505.550000000001</v>
      </c>
      <c r="J304" s="450">
        <f t="shared" si="131"/>
        <v>12505.550000000001</v>
      </c>
      <c r="K304" s="450">
        <f t="shared" si="131"/>
        <v>12505.550000000001</v>
      </c>
      <c r="L304" s="450">
        <f t="shared" si="131"/>
        <v>12505.550000000001</v>
      </c>
      <c r="M304" s="450">
        <f t="shared" si="131"/>
        <v>14412.650000000001</v>
      </c>
      <c r="N304" s="450">
        <f t="shared" si="131"/>
        <v>16319.75</v>
      </c>
      <c r="O304" s="450">
        <f t="shared" si="131"/>
        <v>20515.37</v>
      </c>
      <c r="P304" s="450">
        <f t="shared" si="131"/>
        <v>25855.25</v>
      </c>
      <c r="Q304" s="450">
        <f>SUM(E304:P304)</f>
        <v>224062.07999999999</v>
      </c>
    </row>
    <row r="305" spans="1:18" x14ac:dyDescent="0.2">
      <c r="A305" s="615"/>
      <c r="B305" s="301"/>
      <c r="C305" s="455"/>
      <c r="D305" s="300"/>
      <c r="E305" s="415"/>
      <c r="F305" s="415"/>
      <c r="G305" s="415"/>
      <c r="H305" s="415"/>
      <c r="I305" s="415"/>
      <c r="J305" s="415"/>
      <c r="K305" s="415"/>
      <c r="L305" s="415"/>
      <c r="M305" s="415"/>
      <c r="N305" s="415"/>
      <c r="O305" s="415"/>
      <c r="P305" s="415"/>
      <c r="Q305" s="415"/>
    </row>
    <row r="306" spans="1:18" x14ac:dyDescent="0.2">
      <c r="A306" s="259">
        <f>A283+1</f>
        <v>2</v>
      </c>
      <c r="B306" s="219" t="str">
        <f>Input!A50</f>
        <v>FX2</v>
      </c>
      <c r="C306" s="219" t="str">
        <f>'Sch M 2.1'!B45</f>
        <v>GTS Flex Rate - Commercial</v>
      </c>
      <c r="G306" s="290"/>
      <c r="Q306" s="290"/>
    </row>
    <row r="307" spans="1:18" x14ac:dyDescent="0.2">
      <c r="A307" s="259">
        <f>A306+1</f>
        <v>3</v>
      </c>
      <c r="C307" s="444" t="s">
        <v>219</v>
      </c>
      <c r="E307" s="240">
        <f t="shared" ref="E307:P307" si="132">E1114</f>
        <v>1</v>
      </c>
      <c r="F307" s="240">
        <f t="shared" si="132"/>
        <v>1</v>
      </c>
      <c r="G307" s="240">
        <f t="shared" si="132"/>
        <v>1</v>
      </c>
      <c r="H307" s="240">
        <f t="shared" si="132"/>
        <v>1</v>
      </c>
      <c r="I307" s="240">
        <f t="shared" si="132"/>
        <v>1</v>
      </c>
      <c r="J307" s="240">
        <f t="shared" si="132"/>
        <v>1</v>
      </c>
      <c r="K307" s="240">
        <f t="shared" si="132"/>
        <v>1</v>
      </c>
      <c r="L307" s="240">
        <f t="shared" si="132"/>
        <v>1</v>
      </c>
      <c r="M307" s="240">
        <f t="shared" si="132"/>
        <v>1</v>
      </c>
      <c r="N307" s="240">
        <f t="shared" si="132"/>
        <v>1</v>
      </c>
      <c r="O307" s="240">
        <f t="shared" si="132"/>
        <v>1</v>
      </c>
      <c r="P307" s="240">
        <f t="shared" si="132"/>
        <v>1</v>
      </c>
      <c r="Q307" s="240">
        <f>SUM(E307:P307)</f>
        <v>12</v>
      </c>
    </row>
    <row r="308" spans="1:18" x14ac:dyDescent="0.2">
      <c r="A308" s="259">
        <f>A307+1</f>
        <v>4</v>
      </c>
      <c r="C308" s="444" t="s">
        <v>567</v>
      </c>
      <c r="E308" s="245">
        <f t="shared" ref="E308:P308" si="133">E1118</f>
        <v>44010</v>
      </c>
      <c r="F308" s="245">
        <f t="shared" si="133"/>
        <v>56724</v>
      </c>
      <c r="G308" s="245">
        <f t="shared" si="133"/>
        <v>33252</v>
      </c>
      <c r="H308" s="245">
        <f t="shared" si="133"/>
        <v>47922</v>
      </c>
      <c r="I308" s="245">
        <f t="shared" si="133"/>
        <v>37164</v>
      </c>
      <c r="J308" s="245">
        <f t="shared" si="133"/>
        <v>37164</v>
      </c>
      <c r="K308" s="245">
        <f t="shared" si="133"/>
        <v>39120</v>
      </c>
      <c r="L308" s="245">
        <f t="shared" si="133"/>
        <v>37164</v>
      </c>
      <c r="M308" s="245">
        <f t="shared" si="133"/>
        <v>41076</v>
      </c>
      <c r="N308" s="245">
        <f t="shared" si="133"/>
        <v>50856</v>
      </c>
      <c r="O308" s="245">
        <f t="shared" si="133"/>
        <v>54768</v>
      </c>
      <c r="P308" s="245">
        <f t="shared" si="133"/>
        <v>54768</v>
      </c>
      <c r="Q308" s="245">
        <f>SUM(E308:P308)</f>
        <v>533988</v>
      </c>
    </row>
    <row r="309" spans="1:18" x14ac:dyDescent="0.2">
      <c r="A309" s="259">
        <f>A308+1</f>
        <v>5</v>
      </c>
      <c r="C309" s="444" t="s">
        <v>221</v>
      </c>
      <c r="E309" s="427">
        <f t="shared" ref="E309:P309" si="134">E1121</f>
        <v>18226.850000000002</v>
      </c>
      <c r="F309" s="427">
        <f t="shared" si="134"/>
        <v>23185.31</v>
      </c>
      <c r="G309" s="427">
        <f t="shared" si="134"/>
        <v>14031.230000000001</v>
      </c>
      <c r="H309" s="427">
        <f t="shared" si="134"/>
        <v>19752.530000000002</v>
      </c>
      <c r="I309" s="427">
        <f t="shared" si="134"/>
        <v>15556.91</v>
      </c>
      <c r="J309" s="427">
        <f t="shared" si="134"/>
        <v>15556.91</v>
      </c>
      <c r="K309" s="427">
        <f t="shared" si="134"/>
        <v>16319.75</v>
      </c>
      <c r="L309" s="427">
        <f t="shared" si="134"/>
        <v>15556.91</v>
      </c>
      <c r="M309" s="427">
        <f t="shared" si="134"/>
        <v>17082.59</v>
      </c>
      <c r="N309" s="427">
        <f t="shared" si="134"/>
        <v>20896.79</v>
      </c>
      <c r="O309" s="427">
        <f t="shared" si="134"/>
        <v>22422.47</v>
      </c>
      <c r="P309" s="427">
        <f t="shared" si="134"/>
        <v>22422.47</v>
      </c>
      <c r="Q309" s="427">
        <f>SUM(E309:P309)</f>
        <v>221010.72000000003</v>
      </c>
    </row>
    <row r="310" spans="1:18" x14ac:dyDescent="0.2">
      <c r="A310" s="259">
        <f>A309+1</f>
        <v>6</v>
      </c>
      <c r="C310" s="444" t="s">
        <v>222</v>
      </c>
      <c r="E310" s="427">
        <f t="shared" ref="E310:P310" si="135">E1123</f>
        <v>0</v>
      </c>
      <c r="F310" s="427">
        <f t="shared" si="135"/>
        <v>0</v>
      </c>
      <c r="G310" s="427">
        <f t="shared" si="135"/>
        <v>0</v>
      </c>
      <c r="H310" s="427">
        <f t="shared" si="135"/>
        <v>0</v>
      </c>
      <c r="I310" s="427">
        <f t="shared" si="135"/>
        <v>0</v>
      </c>
      <c r="J310" s="427">
        <f t="shared" si="135"/>
        <v>0</v>
      </c>
      <c r="K310" s="427">
        <f t="shared" si="135"/>
        <v>0</v>
      </c>
      <c r="L310" s="427">
        <f t="shared" si="135"/>
        <v>0</v>
      </c>
      <c r="M310" s="427">
        <f t="shared" si="135"/>
        <v>0</v>
      </c>
      <c r="N310" s="427">
        <f t="shared" si="135"/>
        <v>0</v>
      </c>
      <c r="O310" s="427">
        <f t="shared" si="135"/>
        <v>0</v>
      </c>
      <c r="P310" s="427">
        <f t="shared" si="135"/>
        <v>0</v>
      </c>
      <c r="Q310" s="427">
        <f>SUM(E310:P310)</f>
        <v>0</v>
      </c>
    </row>
    <row r="311" spans="1:18" x14ac:dyDescent="0.2">
      <c r="A311" s="713">
        <f>A310+1</f>
        <v>7</v>
      </c>
      <c r="B311" s="447"/>
      <c r="C311" s="448" t="s">
        <v>568</v>
      </c>
      <c r="D311" s="449"/>
      <c r="E311" s="450">
        <f t="shared" ref="E311:P311" si="136">E1125</f>
        <v>18226.850000000002</v>
      </c>
      <c r="F311" s="450">
        <f t="shared" si="136"/>
        <v>23185.31</v>
      </c>
      <c r="G311" s="450">
        <f t="shared" si="136"/>
        <v>14031.230000000001</v>
      </c>
      <c r="H311" s="450">
        <f t="shared" si="136"/>
        <v>19752.530000000002</v>
      </c>
      <c r="I311" s="450">
        <f t="shared" si="136"/>
        <v>15556.91</v>
      </c>
      <c r="J311" s="450">
        <f t="shared" si="136"/>
        <v>15556.91</v>
      </c>
      <c r="K311" s="450">
        <f t="shared" si="136"/>
        <v>16319.75</v>
      </c>
      <c r="L311" s="450">
        <f t="shared" si="136"/>
        <v>15556.91</v>
      </c>
      <c r="M311" s="450">
        <f t="shared" si="136"/>
        <v>17082.59</v>
      </c>
      <c r="N311" s="450">
        <f t="shared" si="136"/>
        <v>20896.79</v>
      </c>
      <c r="O311" s="450">
        <f t="shared" si="136"/>
        <v>22422.47</v>
      </c>
      <c r="P311" s="450">
        <f t="shared" si="136"/>
        <v>22422.47</v>
      </c>
      <c r="Q311" s="450">
        <f>SUM(E311:P311)</f>
        <v>221010.72000000003</v>
      </c>
    </row>
    <row r="313" spans="1:18" x14ac:dyDescent="0.2">
      <c r="A313" s="259">
        <f>A311+1</f>
        <v>8</v>
      </c>
      <c r="B313" s="219" t="str">
        <f>Input!A51</f>
        <v>FX5</v>
      </c>
      <c r="C313" s="219" t="str">
        <f>'Sch M 2.1'!B46</f>
        <v>GTS Flex Rate - Industrial</v>
      </c>
      <c r="G313" s="290"/>
      <c r="Q313" s="290"/>
    </row>
    <row r="314" spans="1:18" x14ac:dyDescent="0.2">
      <c r="A314" s="259">
        <f>A313+1</f>
        <v>9</v>
      </c>
      <c r="C314" s="444" t="s">
        <v>219</v>
      </c>
      <c r="E314" s="240">
        <f t="shared" ref="E314:P314" si="137">E1148</f>
        <v>3</v>
      </c>
      <c r="F314" s="240">
        <f t="shared" si="137"/>
        <v>3</v>
      </c>
      <c r="G314" s="240">
        <f t="shared" si="137"/>
        <v>3</v>
      </c>
      <c r="H314" s="240">
        <f t="shared" si="137"/>
        <v>3</v>
      </c>
      <c r="I314" s="240">
        <f t="shared" si="137"/>
        <v>3</v>
      </c>
      <c r="J314" s="240">
        <f t="shared" si="137"/>
        <v>3</v>
      </c>
      <c r="K314" s="240">
        <f t="shared" si="137"/>
        <v>3</v>
      </c>
      <c r="L314" s="240">
        <f t="shared" si="137"/>
        <v>3</v>
      </c>
      <c r="M314" s="240">
        <f t="shared" si="137"/>
        <v>3</v>
      </c>
      <c r="N314" s="240">
        <f t="shared" si="137"/>
        <v>3</v>
      </c>
      <c r="O314" s="240">
        <f t="shared" si="137"/>
        <v>3</v>
      </c>
      <c r="P314" s="240">
        <f t="shared" si="137"/>
        <v>3</v>
      </c>
      <c r="Q314" s="240">
        <f>SUM(E314:P314)</f>
        <v>36</v>
      </c>
    </row>
    <row r="315" spans="1:18" x14ac:dyDescent="0.2">
      <c r="A315" s="259">
        <f>A314+1</f>
        <v>10</v>
      </c>
      <c r="C315" s="444" t="s">
        <v>567</v>
      </c>
      <c r="E315" s="245">
        <f t="shared" ref="E315:P315" si="138">E1152</f>
        <v>411738</v>
      </c>
      <c r="F315" s="245">
        <f t="shared" si="138"/>
        <v>369684</v>
      </c>
      <c r="G315" s="245">
        <f t="shared" si="138"/>
        <v>397068</v>
      </c>
      <c r="H315" s="245">
        <f t="shared" si="138"/>
        <v>381420</v>
      </c>
      <c r="I315" s="245">
        <f t="shared" si="138"/>
        <v>392178</v>
      </c>
      <c r="J315" s="245">
        <f t="shared" si="138"/>
        <v>381420</v>
      </c>
      <c r="K315" s="245">
        <f t="shared" si="138"/>
        <v>392178</v>
      </c>
      <c r="L315" s="245">
        <f t="shared" si="138"/>
        <v>392178</v>
      </c>
      <c r="M315" s="245">
        <f t="shared" si="138"/>
        <v>381420</v>
      </c>
      <c r="N315" s="245">
        <f t="shared" si="138"/>
        <v>397068</v>
      </c>
      <c r="O315" s="245">
        <f t="shared" si="138"/>
        <v>391200</v>
      </c>
      <c r="P315" s="245">
        <f t="shared" si="138"/>
        <v>401958</v>
      </c>
      <c r="Q315" s="245">
        <f>SUM(E315:P315)</f>
        <v>4689510</v>
      </c>
    </row>
    <row r="316" spans="1:18" x14ac:dyDescent="0.2">
      <c r="A316" s="259">
        <f>A315+1</f>
        <v>11</v>
      </c>
      <c r="C316" s="444" t="s">
        <v>221</v>
      </c>
      <c r="E316" s="427">
        <f t="shared" ref="E316:P316" si="139">E1155</f>
        <v>36094.82</v>
      </c>
      <c r="F316" s="427">
        <f t="shared" si="139"/>
        <v>32486.59</v>
      </c>
      <c r="G316" s="427">
        <f t="shared" si="139"/>
        <v>34836.129999999997</v>
      </c>
      <c r="H316" s="427">
        <f t="shared" si="139"/>
        <v>33493.54</v>
      </c>
      <c r="I316" s="427">
        <f t="shared" si="139"/>
        <v>34416.57</v>
      </c>
      <c r="J316" s="427">
        <f t="shared" si="139"/>
        <v>33493.54</v>
      </c>
      <c r="K316" s="427">
        <f t="shared" si="139"/>
        <v>34416.57</v>
      </c>
      <c r="L316" s="427">
        <f t="shared" si="139"/>
        <v>34416.57</v>
      </c>
      <c r="M316" s="427">
        <f t="shared" si="139"/>
        <v>33493.54</v>
      </c>
      <c r="N316" s="427">
        <f t="shared" si="139"/>
        <v>34836.129999999997</v>
      </c>
      <c r="O316" s="427">
        <f t="shared" si="139"/>
        <v>34332.659999999996</v>
      </c>
      <c r="P316" s="427">
        <f t="shared" si="139"/>
        <v>35255.699999999997</v>
      </c>
      <c r="Q316" s="427">
        <f>SUM(E316:P316)</f>
        <v>411572.36</v>
      </c>
    </row>
    <row r="317" spans="1:18" x14ac:dyDescent="0.2">
      <c r="A317" s="259">
        <f>A316+1</f>
        <v>12</v>
      </c>
      <c r="C317" s="444" t="s">
        <v>222</v>
      </c>
      <c r="E317" s="427">
        <f t="shared" ref="E317:P317" si="140">E1157</f>
        <v>0</v>
      </c>
      <c r="F317" s="427">
        <f t="shared" si="140"/>
        <v>0</v>
      </c>
      <c r="G317" s="427">
        <f t="shared" si="140"/>
        <v>0</v>
      </c>
      <c r="H317" s="427">
        <f t="shared" si="140"/>
        <v>0</v>
      </c>
      <c r="I317" s="427">
        <f t="shared" si="140"/>
        <v>0</v>
      </c>
      <c r="J317" s="427">
        <f t="shared" si="140"/>
        <v>0</v>
      </c>
      <c r="K317" s="427">
        <f t="shared" si="140"/>
        <v>0</v>
      </c>
      <c r="L317" s="427">
        <f t="shared" si="140"/>
        <v>0</v>
      </c>
      <c r="M317" s="427">
        <f t="shared" si="140"/>
        <v>0</v>
      </c>
      <c r="N317" s="427">
        <f t="shared" si="140"/>
        <v>0</v>
      </c>
      <c r="O317" s="427">
        <f t="shared" si="140"/>
        <v>0</v>
      </c>
      <c r="P317" s="427">
        <f t="shared" si="140"/>
        <v>0</v>
      </c>
      <c r="Q317" s="427">
        <f>SUM(E317:P317)</f>
        <v>0</v>
      </c>
    </row>
    <row r="318" spans="1:18" x14ac:dyDescent="0.2">
      <c r="A318" s="713">
        <f>A317+1</f>
        <v>13</v>
      </c>
      <c r="B318" s="447"/>
      <c r="C318" s="448" t="s">
        <v>568</v>
      </c>
      <c r="D318" s="449"/>
      <c r="E318" s="450">
        <f t="shared" ref="E318:P318" si="141">E1159</f>
        <v>36094.82</v>
      </c>
      <c r="F318" s="450">
        <f t="shared" si="141"/>
        <v>32486.59</v>
      </c>
      <c r="G318" s="450">
        <f t="shared" si="141"/>
        <v>34836.129999999997</v>
      </c>
      <c r="H318" s="450">
        <f t="shared" si="141"/>
        <v>33493.54</v>
      </c>
      <c r="I318" s="450">
        <f t="shared" si="141"/>
        <v>34416.57</v>
      </c>
      <c r="J318" s="450">
        <f t="shared" si="141"/>
        <v>33493.54</v>
      </c>
      <c r="K318" s="450">
        <f t="shared" si="141"/>
        <v>34416.57</v>
      </c>
      <c r="L318" s="450">
        <f t="shared" si="141"/>
        <v>34416.57</v>
      </c>
      <c r="M318" s="450">
        <f t="shared" si="141"/>
        <v>33493.54</v>
      </c>
      <c r="N318" s="450">
        <f t="shared" si="141"/>
        <v>34836.129999999997</v>
      </c>
      <c r="O318" s="450">
        <f t="shared" si="141"/>
        <v>34332.659999999996</v>
      </c>
      <c r="P318" s="450">
        <f t="shared" si="141"/>
        <v>35255.699999999997</v>
      </c>
      <c r="Q318" s="450">
        <f>SUM(E318:P318)</f>
        <v>411572.36</v>
      </c>
    </row>
    <row r="319" spans="1:18" x14ac:dyDescent="0.2">
      <c r="G319" s="290"/>
      <c r="Q319" s="290"/>
    </row>
    <row r="320" spans="1:18" x14ac:dyDescent="0.2">
      <c r="A320" s="259">
        <f>A318+1</f>
        <v>14</v>
      </c>
      <c r="B320" s="219" t="str">
        <f>Input!A52</f>
        <v>FX7</v>
      </c>
      <c r="C320" s="219" t="str">
        <f>'Sch M 2.1'!B47</f>
        <v>GTS Flex Rate - Industrial</v>
      </c>
      <c r="D320" s="286"/>
      <c r="E320" s="222"/>
      <c r="F320" s="288"/>
      <c r="G320" s="288"/>
      <c r="H320" s="288"/>
      <c r="I320" s="293"/>
      <c r="J320" s="288"/>
      <c r="K320" s="288"/>
      <c r="L320" s="288"/>
      <c r="M320" s="288"/>
      <c r="N320" s="288"/>
      <c r="O320" s="288"/>
      <c r="P320" s="288"/>
      <c r="Q320" s="288"/>
      <c r="R320" s="222"/>
    </row>
    <row r="321" spans="1:18" x14ac:dyDescent="0.2">
      <c r="A321" s="259">
        <f>A320+1</f>
        <v>15</v>
      </c>
      <c r="C321" s="444" t="s">
        <v>219</v>
      </c>
      <c r="D321" s="286"/>
      <c r="E321" s="286">
        <f t="shared" ref="E321:P321" si="142">E1166</f>
        <v>1</v>
      </c>
      <c r="F321" s="286">
        <f t="shared" si="142"/>
        <v>1</v>
      </c>
      <c r="G321" s="286">
        <f t="shared" si="142"/>
        <v>1</v>
      </c>
      <c r="H321" s="286">
        <f t="shared" si="142"/>
        <v>1</v>
      </c>
      <c r="I321" s="286">
        <f t="shared" si="142"/>
        <v>1</v>
      </c>
      <c r="J321" s="286">
        <f t="shared" si="142"/>
        <v>1</v>
      </c>
      <c r="K321" s="286">
        <f t="shared" si="142"/>
        <v>1</v>
      </c>
      <c r="L321" s="286">
        <f t="shared" si="142"/>
        <v>1</v>
      </c>
      <c r="M321" s="286">
        <f t="shared" si="142"/>
        <v>1</v>
      </c>
      <c r="N321" s="286">
        <f t="shared" si="142"/>
        <v>1</v>
      </c>
      <c r="O321" s="286">
        <f t="shared" si="142"/>
        <v>1</v>
      </c>
      <c r="P321" s="286">
        <f t="shared" si="142"/>
        <v>1</v>
      </c>
      <c r="Q321" s="240">
        <f>SUM(E321:P321)</f>
        <v>12</v>
      </c>
      <c r="R321" s="222"/>
    </row>
    <row r="322" spans="1:18" x14ac:dyDescent="0.2">
      <c r="A322" s="259">
        <f>A321+1</f>
        <v>16</v>
      </c>
      <c r="C322" s="444" t="s">
        <v>567</v>
      </c>
      <c r="D322" s="286"/>
      <c r="E322" s="293">
        <f t="shared" ref="E322:P322" si="143">E1173</f>
        <v>44077</v>
      </c>
      <c r="F322" s="293">
        <f t="shared" si="143"/>
        <v>26389</v>
      </c>
      <c r="G322" s="293">
        <f t="shared" si="143"/>
        <v>30000</v>
      </c>
      <c r="H322" s="293">
        <f t="shared" si="143"/>
        <v>30000</v>
      </c>
      <c r="I322" s="293">
        <f t="shared" si="143"/>
        <v>30000</v>
      </c>
      <c r="J322" s="293">
        <f t="shared" si="143"/>
        <v>30000</v>
      </c>
      <c r="K322" s="293">
        <f t="shared" si="143"/>
        <v>30000</v>
      </c>
      <c r="L322" s="293">
        <f t="shared" si="143"/>
        <v>30000</v>
      </c>
      <c r="M322" s="293">
        <f t="shared" si="143"/>
        <v>45000</v>
      </c>
      <c r="N322" s="293">
        <f t="shared" si="143"/>
        <v>45000</v>
      </c>
      <c r="O322" s="293">
        <f t="shared" si="143"/>
        <v>39555</v>
      </c>
      <c r="P322" s="293">
        <f t="shared" si="143"/>
        <v>39979</v>
      </c>
      <c r="Q322" s="245">
        <f>SUM(E322:P322)</f>
        <v>420000</v>
      </c>
      <c r="R322" s="222"/>
    </row>
    <row r="323" spans="1:18" x14ac:dyDescent="0.2">
      <c r="A323" s="259">
        <f>A322+1</f>
        <v>17</v>
      </c>
      <c r="C323" s="444" t="s">
        <v>221</v>
      </c>
      <c r="D323" s="286"/>
      <c r="E323" s="427">
        <f t="shared" ref="E323:P323" si="144">E1179</f>
        <v>18463.740000000002</v>
      </c>
      <c r="F323" s="427">
        <f t="shared" si="144"/>
        <v>13687.980000000001</v>
      </c>
      <c r="G323" s="427">
        <f t="shared" si="144"/>
        <v>14662.95</v>
      </c>
      <c r="H323" s="427">
        <f t="shared" si="144"/>
        <v>14662.95</v>
      </c>
      <c r="I323" s="427">
        <f t="shared" si="144"/>
        <v>14662.95</v>
      </c>
      <c r="J323" s="427">
        <f t="shared" si="144"/>
        <v>14662.95</v>
      </c>
      <c r="K323" s="427">
        <f t="shared" si="144"/>
        <v>14662.95</v>
      </c>
      <c r="L323" s="427">
        <f t="shared" si="144"/>
        <v>14662.95</v>
      </c>
      <c r="M323" s="427">
        <f t="shared" si="144"/>
        <v>18712.95</v>
      </c>
      <c r="N323" s="427">
        <f t="shared" si="144"/>
        <v>18712.95</v>
      </c>
      <c r="O323" s="427">
        <f t="shared" si="144"/>
        <v>17242.8</v>
      </c>
      <c r="P323" s="427">
        <f t="shared" si="144"/>
        <v>17357.28</v>
      </c>
      <c r="Q323" s="427">
        <f>SUM(E323:P323)</f>
        <v>192155.4</v>
      </c>
      <c r="R323" s="222"/>
    </row>
    <row r="324" spans="1:18" x14ac:dyDescent="0.2">
      <c r="A324" s="259">
        <f>A323+1</f>
        <v>18</v>
      </c>
      <c r="C324" s="444" t="s">
        <v>222</v>
      </c>
      <c r="D324" s="286"/>
      <c r="E324" s="427">
        <f t="shared" ref="E324:P324" si="145">E1181</f>
        <v>0</v>
      </c>
      <c r="F324" s="427">
        <f t="shared" si="145"/>
        <v>0</v>
      </c>
      <c r="G324" s="427">
        <f t="shared" si="145"/>
        <v>0</v>
      </c>
      <c r="H324" s="427">
        <f t="shared" si="145"/>
        <v>0</v>
      </c>
      <c r="I324" s="427">
        <f t="shared" si="145"/>
        <v>0</v>
      </c>
      <c r="J324" s="427">
        <f t="shared" si="145"/>
        <v>0</v>
      </c>
      <c r="K324" s="427">
        <f t="shared" si="145"/>
        <v>0</v>
      </c>
      <c r="L324" s="427">
        <f t="shared" si="145"/>
        <v>0</v>
      </c>
      <c r="M324" s="427">
        <f t="shared" si="145"/>
        <v>0</v>
      </c>
      <c r="N324" s="427">
        <f t="shared" si="145"/>
        <v>0</v>
      </c>
      <c r="O324" s="427">
        <f t="shared" si="145"/>
        <v>0</v>
      </c>
      <c r="P324" s="427">
        <f t="shared" si="145"/>
        <v>0</v>
      </c>
      <c r="Q324" s="427">
        <f>SUM(E324:P324)</f>
        <v>0</v>
      </c>
      <c r="R324" s="222"/>
    </row>
    <row r="325" spans="1:18" x14ac:dyDescent="0.2">
      <c r="A325" s="713">
        <f>A324+1</f>
        <v>19</v>
      </c>
      <c r="B325" s="447"/>
      <c r="C325" s="448" t="s">
        <v>568</v>
      </c>
      <c r="D325" s="461"/>
      <c r="E325" s="450">
        <f t="shared" ref="E325:P325" si="146">E1183</f>
        <v>18463.740000000002</v>
      </c>
      <c r="F325" s="450">
        <f t="shared" si="146"/>
        <v>13687.980000000001</v>
      </c>
      <c r="G325" s="450">
        <f t="shared" si="146"/>
        <v>14662.95</v>
      </c>
      <c r="H325" s="450">
        <f t="shared" si="146"/>
        <v>14662.95</v>
      </c>
      <c r="I325" s="450">
        <f t="shared" si="146"/>
        <v>14662.95</v>
      </c>
      <c r="J325" s="450">
        <f t="shared" si="146"/>
        <v>14662.95</v>
      </c>
      <c r="K325" s="450">
        <f t="shared" si="146"/>
        <v>14662.95</v>
      </c>
      <c r="L325" s="450">
        <f t="shared" si="146"/>
        <v>14662.95</v>
      </c>
      <c r="M325" s="450">
        <f t="shared" si="146"/>
        <v>18712.95</v>
      </c>
      <c r="N325" s="450">
        <f t="shared" si="146"/>
        <v>18712.95</v>
      </c>
      <c r="O325" s="450">
        <f t="shared" si="146"/>
        <v>17242.8</v>
      </c>
      <c r="P325" s="450">
        <f t="shared" si="146"/>
        <v>17357.28</v>
      </c>
      <c r="Q325" s="450">
        <f>SUM(E325:P325)</f>
        <v>192155.4</v>
      </c>
      <c r="R325" s="222"/>
    </row>
    <row r="326" spans="1:18" x14ac:dyDescent="0.2">
      <c r="D326" s="286"/>
      <c r="E326" s="222"/>
      <c r="F326" s="288"/>
      <c r="G326" s="288"/>
      <c r="H326" s="288"/>
      <c r="I326" s="293"/>
      <c r="J326" s="288"/>
      <c r="K326" s="288"/>
      <c r="L326" s="288"/>
      <c r="M326" s="288"/>
      <c r="N326" s="288"/>
      <c r="O326" s="288"/>
      <c r="P326" s="288"/>
      <c r="Q326" s="288"/>
      <c r="R326" s="222"/>
    </row>
    <row r="327" spans="1:18" x14ac:dyDescent="0.2">
      <c r="R327" s="222"/>
    </row>
    <row r="328" spans="1:18" x14ac:dyDescent="0.2">
      <c r="A328" s="622" t="str">
        <f>$A$107</f>
        <v>[1] Reflects Normalized Volumes.</v>
      </c>
      <c r="R328" s="222"/>
    </row>
    <row r="329" spans="1:18" x14ac:dyDescent="0.2">
      <c r="A329" s="622" t="str">
        <f>$A$108</f>
        <v>[2] See Schedule M-2.2 Pages 8 through 21 for detail.</v>
      </c>
      <c r="R329" s="222"/>
    </row>
    <row r="330" spans="1:18" x14ac:dyDescent="0.2">
      <c r="A330" s="993" t="str">
        <f>CONAME</f>
        <v>Columbia Gas of Kentucky, Inc.</v>
      </c>
      <c r="B330" s="993"/>
      <c r="C330" s="993"/>
      <c r="D330" s="993"/>
      <c r="E330" s="993"/>
      <c r="F330" s="993"/>
      <c r="G330" s="993"/>
      <c r="H330" s="993"/>
      <c r="I330" s="993"/>
      <c r="J330" s="993"/>
      <c r="K330" s="993"/>
      <c r="L330" s="993"/>
      <c r="M330" s="993"/>
      <c r="N330" s="993"/>
      <c r="O330" s="993"/>
      <c r="P330" s="993"/>
      <c r="Q330" s="993"/>
      <c r="R330" s="222"/>
    </row>
    <row r="331" spans="1:18" x14ac:dyDescent="0.2">
      <c r="A331" s="981" t="str">
        <f>case</f>
        <v>Case No. 2016-00162</v>
      </c>
      <c r="B331" s="981"/>
      <c r="C331" s="981"/>
      <c r="D331" s="981"/>
      <c r="E331" s="981"/>
      <c r="F331" s="981"/>
      <c r="G331" s="981"/>
      <c r="H331" s="981"/>
      <c r="I331" s="981"/>
      <c r="J331" s="981"/>
      <c r="K331" s="981"/>
      <c r="L331" s="981"/>
      <c r="M331" s="981"/>
      <c r="N331" s="981"/>
      <c r="O331" s="981"/>
      <c r="P331" s="981"/>
      <c r="Q331" s="981"/>
      <c r="R331" s="222"/>
    </row>
    <row r="332" spans="1:18" x14ac:dyDescent="0.2">
      <c r="A332" s="994" t="s">
        <v>200</v>
      </c>
      <c r="B332" s="994"/>
      <c r="C332" s="994"/>
      <c r="D332" s="994"/>
      <c r="E332" s="994"/>
      <c r="F332" s="994"/>
      <c r="G332" s="994"/>
      <c r="H332" s="994"/>
      <c r="I332" s="994"/>
      <c r="J332" s="994"/>
      <c r="K332" s="994"/>
      <c r="L332" s="994"/>
      <c r="M332" s="994"/>
      <c r="N332" s="994"/>
      <c r="O332" s="994"/>
      <c r="P332" s="994"/>
      <c r="Q332" s="994"/>
      <c r="R332" s="222"/>
    </row>
    <row r="333" spans="1:18" x14ac:dyDescent="0.2">
      <c r="A333" s="993" t="str">
        <f>TYDESC</f>
        <v>For the 12 Months Ended December 31, 2017</v>
      </c>
      <c r="B333" s="993"/>
      <c r="C333" s="993"/>
      <c r="D333" s="993"/>
      <c r="E333" s="993"/>
      <c r="F333" s="993"/>
      <c r="G333" s="993"/>
      <c r="H333" s="993"/>
      <c r="I333" s="993"/>
      <c r="J333" s="993"/>
      <c r="K333" s="993"/>
      <c r="L333" s="993"/>
      <c r="M333" s="993"/>
      <c r="N333" s="993"/>
      <c r="O333" s="993"/>
      <c r="P333" s="993"/>
      <c r="Q333" s="993"/>
      <c r="R333" s="222"/>
    </row>
    <row r="334" spans="1:18" x14ac:dyDescent="0.2">
      <c r="A334" s="991" t="s">
        <v>39</v>
      </c>
      <c r="B334" s="991"/>
      <c r="C334" s="991"/>
      <c r="D334" s="991"/>
      <c r="E334" s="991"/>
      <c r="F334" s="991"/>
      <c r="G334" s="991"/>
      <c r="H334" s="991"/>
      <c r="I334" s="991"/>
      <c r="J334" s="991"/>
      <c r="K334" s="991"/>
      <c r="L334" s="991"/>
      <c r="M334" s="991"/>
      <c r="N334" s="991"/>
      <c r="O334" s="991"/>
      <c r="P334" s="991"/>
      <c r="Q334" s="991"/>
      <c r="R334" s="222"/>
    </row>
    <row r="335" spans="1:18" x14ac:dyDescent="0.2">
      <c r="A335" s="711" t="str">
        <f>$A$52</f>
        <v>Data: __ Base Period _X_ Forecasted Period</v>
      </c>
      <c r="R335" s="222"/>
    </row>
    <row r="336" spans="1:18" x14ac:dyDescent="0.2">
      <c r="A336" s="711" t="str">
        <f>$A$53</f>
        <v>Type of Filing: X Original _ Update _ Revised</v>
      </c>
      <c r="Q336" s="413" t="str">
        <f>$Q$53</f>
        <v>Schedule M-2.3</v>
      </c>
      <c r="R336" s="222"/>
    </row>
    <row r="337" spans="1:18" x14ac:dyDescent="0.2">
      <c r="A337" s="711" t="str">
        <f>$A$54</f>
        <v>Work Paper Reference No(s):</v>
      </c>
      <c r="Q337" s="413" t="s">
        <v>515</v>
      </c>
      <c r="R337" s="222"/>
    </row>
    <row r="338" spans="1:18" x14ac:dyDescent="0.2">
      <c r="A338" s="712" t="str">
        <f>$A$55</f>
        <v>12 Months Forecasted</v>
      </c>
      <c r="Q338" s="413" t="str">
        <f>Witness</f>
        <v>Witness:  M. J. Bell</v>
      </c>
      <c r="R338" s="222"/>
    </row>
    <row r="339" spans="1:18" x14ac:dyDescent="0.2">
      <c r="A339" s="992" t="s">
        <v>293</v>
      </c>
      <c r="B339" s="992"/>
      <c r="C339" s="992"/>
      <c r="D339" s="992"/>
      <c r="E339" s="992"/>
      <c r="F339" s="992"/>
      <c r="G339" s="992"/>
      <c r="H339" s="992"/>
      <c r="I339" s="992"/>
      <c r="J339" s="992"/>
      <c r="K339" s="992"/>
      <c r="L339" s="992"/>
      <c r="M339" s="992"/>
      <c r="N339" s="992"/>
      <c r="O339" s="992"/>
      <c r="P339" s="992"/>
      <c r="Q339" s="992"/>
      <c r="R339" s="222"/>
    </row>
    <row r="340" spans="1:18" x14ac:dyDescent="0.2">
      <c r="A340" s="225"/>
      <c r="B340" s="301"/>
      <c r="C340" s="301"/>
      <c r="D340" s="300"/>
      <c r="E340" s="301"/>
      <c r="F340" s="415"/>
      <c r="G340" s="435"/>
      <c r="H340" s="415"/>
      <c r="I340" s="436"/>
      <c r="J340" s="415"/>
      <c r="K340" s="415"/>
      <c r="L340" s="415"/>
      <c r="M340" s="415"/>
      <c r="N340" s="415"/>
      <c r="O340" s="415"/>
      <c r="R340" s="222"/>
    </row>
    <row r="341" spans="1:18" x14ac:dyDescent="0.2">
      <c r="A341" s="410" t="s">
        <v>1</v>
      </c>
      <c r="B341" s="224" t="s">
        <v>0</v>
      </c>
      <c r="C341" s="224" t="s">
        <v>41</v>
      </c>
      <c r="D341" s="416" t="s">
        <v>30</v>
      </c>
      <c r="E341" s="417"/>
      <c r="F341" s="418"/>
      <c r="G341" s="417"/>
      <c r="H341" s="419"/>
      <c r="I341" s="417"/>
      <c r="J341" s="417"/>
      <c r="K341" s="417"/>
      <c r="L341" s="417"/>
      <c r="M341" s="417"/>
      <c r="N341" s="417"/>
      <c r="O341" s="229"/>
      <c r="P341" s="229"/>
      <c r="Q341" s="229"/>
      <c r="R341" s="222"/>
    </row>
    <row r="342" spans="1:18" x14ac:dyDescent="0.2">
      <c r="A342" s="281" t="s">
        <v>3</v>
      </c>
      <c r="B342" s="226" t="s">
        <v>40</v>
      </c>
      <c r="C342" s="226" t="s">
        <v>4</v>
      </c>
      <c r="D342" s="420" t="s">
        <v>48</v>
      </c>
      <c r="E342" s="421" t="str">
        <f>B!$D$11</f>
        <v>Jan-17</v>
      </c>
      <c r="F342" s="421" t="str">
        <f>B!$E$11</f>
        <v>Feb-17</v>
      </c>
      <c r="G342" s="421" t="str">
        <f>B!$F$11</f>
        <v>Mar-17</v>
      </c>
      <c r="H342" s="421" t="str">
        <f>B!$G$11</f>
        <v>Apr-17</v>
      </c>
      <c r="I342" s="421" t="str">
        <f>B!$H$11</f>
        <v>May-17</v>
      </c>
      <c r="J342" s="421" t="str">
        <f>B!$I$11</f>
        <v>Jun-17</v>
      </c>
      <c r="K342" s="421" t="str">
        <f>B!$J$11</f>
        <v>Jul-17</v>
      </c>
      <c r="L342" s="421" t="str">
        <f>B!$K$11</f>
        <v>Aug-17</v>
      </c>
      <c r="M342" s="421" t="str">
        <f>B!$L$11</f>
        <v>Sep-17</v>
      </c>
      <c r="N342" s="421" t="str">
        <f>B!$M$11</f>
        <v>Oct-17</v>
      </c>
      <c r="O342" s="421" t="str">
        <f>B!$N$11</f>
        <v>Nov-17</v>
      </c>
      <c r="P342" s="421" t="str">
        <f>B!$O$11</f>
        <v>Dec-17</v>
      </c>
      <c r="Q342" s="422" t="s">
        <v>9</v>
      </c>
      <c r="R342" s="222"/>
    </row>
    <row r="343" spans="1:18" x14ac:dyDescent="0.2">
      <c r="A343" s="410"/>
      <c r="B343" s="229" t="s">
        <v>42</v>
      </c>
      <c r="C343" s="229" t="s">
        <v>43</v>
      </c>
      <c r="D343" s="423" t="s">
        <v>45</v>
      </c>
      <c r="E343" s="424" t="s">
        <v>46</v>
      </c>
      <c r="F343" s="424" t="s">
        <v>49</v>
      </c>
      <c r="G343" s="424" t="s">
        <v>50</v>
      </c>
      <c r="H343" s="424" t="s">
        <v>51</v>
      </c>
      <c r="I343" s="424" t="s">
        <v>52</v>
      </c>
      <c r="J343" s="425" t="s">
        <v>53</v>
      </c>
      <c r="K343" s="425" t="s">
        <v>54</v>
      </c>
      <c r="L343" s="425" t="s">
        <v>55</v>
      </c>
      <c r="M343" s="425" t="s">
        <v>56</v>
      </c>
      <c r="N343" s="425" t="s">
        <v>57</v>
      </c>
      <c r="O343" s="425" t="s">
        <v>58</v>
      </c>
      <c r="P343" s="425" t="s">
        <v>59</v>
      </c>
      <c r="Q343" s="425" t="s">
        <v>203</v>
      </c>
      <c r="R343" s="222"/>
    </row>
    <row r="344" spans="1:18" x14ac:dyDescent="0.2">
      <c r="R344" s="222"/>
    </row>
    <row r="345" spans="1:18" x14ac:dyDescent="0.2">
      <c r="A345" s="259">
        <v>1</v>
      </c>
      <c r="C345" s="438" t="s">
        <v>95</v>
      </c>
      <c r="R345" s="222"/>
    </row>
    <row r="346" spans="1:18" x14ac:dyDescent="0.2">
      <c r="D346" s="286"/>
      <c r="E346" s="222"/>
      <c r="F346" s="288"/>
      <c r="G346" s="288"/>
      <c r="H346" s="288"/>
      <c r="I346" s="293"/>
      <c r="J346" s="288"/>
      <c r="K346" s="288"/>
      <c r="L346" s="288"/>
      <c r="M346" s="288"/>
      <c r="N346" s="288"/>
      <c r="O346" s="288"/>
      <c r="R346" s="222"/>
    </row>
    <row r="347" spans="1:18" x14ac:dyDescent="0.2">
      <c r="A347" s="259">
        <f>A345+1</f>
        <v>2</v>
      </c>
      <c r="B347" s="219" t="str">
        <f>Input!A53</f>
        <v>SAS</v>
      </c>
      <c r="C347" s="219" t="str">
        <f>'Sch M 2.1'!B48</f>
        <v>GTS Special Agency Service</v>
      </c>
      <c r="D347" s="286"/>
      <c r="E347" s="222"/>
      <c r="F347" s="288"/>
      <c r="G347" s="288"/>
      <c r="H347" s="288"/>
      <c r="I347" s="293"/>
      <c r="J347" s="288"/>
      <c r="K347" s="288"/>
      <c r="L347" s="288"/>
      <c r="M347" s="288"/>
      <c r="N347" s="288"/>
      <c r="O347" s="288"/>
      <c r="P347" s="288"/>
      <c r="Q347" s="288"/>
      <c r="R347" s="222"/>
    </row>
    <row r="348" spans="1:18" x14ac:dyDescent="0.2">
      <c r="A348" s="259">
        <f>A347+1</f>
        <v>3</v>
      </c>
      <c r="C348" s="444" t="s">
        <v>219</v>
      </c>
      <c r="D348" s="286"/>
      <c r="E348" s="286">
        <f t="shared" ref="E348:P348" si="147">E1207</f>
        <v>0</v>
      </c>
      <c r="F348" s="286">
        <f t="shared" si="147"/>
        <v>0</v>
      </c>
      <c r="G348" s="286">
        <f t="shared" si="147"/>
        <v>0</v>
      </c>
      <c r="H348" s="286">
        <f t="shared" si="147"/>
        <v>0</v>
      </c>
      <c r="I348" s="286">
        <f t="shared" si="147"/>
        <v>0</v>
      </c>
      <c r="J348" s="286">
        <f t="shared" si="147"/>
        <v>0</v>
      </c>
      <c r="K348" s="286">
        <f t="shared" si="147"/>
        <v>0</v>
      </c>
      <c r="L348" s="286">
        <f t="shared" si="147"/>
        <v>0</v>
      </c>
      <c r="M348" s="286">
        <f t="shared" si="147"/>
        <v>0</v>
      </c>
      <c r="N348" s="286">
        <f t="shared" si="147"/>
        <v>0</v>
      </c>
      <c r="O348" s="286">
        <f t="shared" si="147"/>
        <v>0</v>
      </c>
      <c r="P348" s="286">
        <f t="shared" si="147"/>
        <v>0</v>
      </c>
      <c r="Q348" s="240">
        <f>SUM(E348:P348)</f>
        <v>0</v>
      </c>
      <c r="R348" s="222"/>
    </row>
    <row r="349" spans="1:18" x14ac:dyDescent="0.2">
      <c r="A349" s="259">
        <f>A348+1</f>
        <v>4</v>
      </c>
      <c r="C349" s="444" t="s">
        <v>567</v>
      </c>
      <c r="D349" s="286"/>
      <c r="E349" s="293">
        <f t="shared" ref="E349:P349" si="148">E1215</f>
        <v>0</v>
      </c>
      <c r="F349" s="293">
        <f t="shared" si="148"/>
        <v>0</v>
      </c>
      <c r="G349" s="293">
        <f t="shared" si="148"/>
        <v>0</v>
      </c>
      <c r="H349" s="293">
        <f t="shared" si="148"/>
        <v>0</v>
      </c>
      <c r="I349" s="293">
        <f t="shared" si="148"/>
        <v>0</v>
      </c>
      <c r="J349" s="293">
        <f t="shared" si="148"/>
        <v>0</v>
      </c>
      <c r="K349" s="293">
        <f t="shared" si="148"/>
        <v>0</v>
      </c>
      <c r="L349" s="293">
        <f t="shared" si="148"/>
        <v>0</v>
      </c>
      <c r="M349" s="293">
        <f t="shared" si="148"/>
        <v>0</v>
      </c>
      <c r="N349" s="293">
        <f t="shared" si="148"/>
        <v>0</v>
      </c>
      <c r="O349" s="293">
        <f t="shared" si="148"/>
        <v>0</v>
      </c>
      <c r="P349" s="293">
        <f t="shared" si="148"/>
        <v>0</v>
      </c>
      <c r="Q349" s="245">
        <f>SUM(E349:P349)</f>
        <v>0</v>
      </c>
      <c r="R349" s="222"/>
    </row>
    <row r="350" spans="1:18" x14ac:dyDescent="0.2">
      <c r="A350" s="259">
        <f>A349+1</f>
        <v>5</v>
      </c>
      <c r="C350" s="444" t="s">
        <v>221</v>
      </c>
      <c r="D350" s="286"/>
      <c r="E350" s="427">
        <f t="shared" ref="E350:P350" si="149">E1221</f>
        <v>0</v>
      </c>
      <c r="F350" s="427">
        <f t="shared" si="149"/>
        <v>0</v>
      </c>
      <c r="G350" s="427">
        <f t="shared" si="149"/>
        <v>0</v>
      </c>
      <c r="H350" s="427">
        <f t="shared" si="149"/>
        <v>0</v>
      </c>
      <c r="I350" s="427">
        <f t="shared" si="149"/>
        <v>0</v>
      </c>
      <c r="J350" s="427">
        <f t="shared" si="149"/>
        <v>0</v>
      </c>
      <c r="K350" s="427">
        <f t="shared" si="149"/>
        <v>0</v>
      </c>
      <c r="L350" s="427">
        <f t="shared" si="149"/>
        <v>0</v>
      </c>
      <c r="M350" s="427">
        <f t="shared" si="149"/>
        <v>0</v>
      </c>
      <c r="N350" s="427">
        <f t="shared" si="149"/>
        <v>0</v>
      </c>
      <c r="O350" s="427">
        <f t="shared" si="149"/>
        <v>0</v>
      </c>
      <c r="P350" s="427">
        <f t="shared" si="149"/>
        <v>0</v>
      </c>
      <c r="Q350" s="427">
        <f>SUM(E350:P350)</f>
        <v>0</v>
      </c>
      <c r="R350" s="222"/>
    </row>
    <row r="351" spans="1:18" x14ac:dyDescent="0.2">
      <c r="A351" s="259">
        <f>A350+1</f>
        <v>6</v>
      </c>
      <c r="C351" s="444" t="s">
        <v>222</v>
      </c>
      <c r="D351" s="286"/>
      <c r="E351" s="427">
        <f t="shared" ref="E351:P351" si="150">E1223</f>
        <v>0</v>
      </c>
      <c r="F351" s="427">
        <f t="shared" si="150"/>
        <v>0</v>
      </c>
      <c r="G351" s="427">
        <f t="shared" si="150"/>
        <v>0</v>
      </c>
      <c r="H351" s="427">
        <f t="shared" si="150"/>
        <v>0</v>
      </c>
      <c r="I351" s="427">
        <f t="shared" si="150"/>
        <v>0</v>
      </c>
      <c r="J351" s="427">
        <f t="shared" si="150"/>
        <v>0</v>
      </c>
      <c r="K351" s="427">
        <f t="shared" si="150"/>
        <v>0</v>
      </c>
      <c r="L351" s="427">
        <f t="shared" si="150"/>
        <v>0</v>
      </c>
      <c r="M351" s="427">
        <f t="shared" si="150"/>
        <v>0</v>
      </c>
      <c r="N351" s="427">
        <f t="shared" si="150"/>
        <v>0</v>
      </c>
      <c r="O351" s="427">
        <f t="shared" si="150"/>
        <v>0</v>
      </c>
      <c r="P351" s="427">
        <f t="shared" si="150"/>
        <v>0</v>
      </c>
      <c r="Q351" s="427">
        <f>SUM(E351:P351)</f>
        <v>0</v>
      </c>
      <c r="R351" s="222"/>
    </row>
    <row r="352" spans="1:18" x14ac:dyDescent="0.2">
      <c r="A352" s="713">
        <f>A351+1</f>
        <v>7</v>
      </c>
      <c r="B352" s="447"/>
      <c r="C352" s="448" t="s">
        <v>568</v>
      </c>
      <c r="D352" s="461"/>
      <c r="E352" s="450">
        <f t="shared" ref="E352:P352" si="151">E1225</f>
        <v>0</v>
      </c>
      <c r="F352" s="450">
        <f t="shared" si="151"/>
        <v>0</v>
      </c>
      <c r="G352" s="450">
        <f t="shared" si="151"/>
        <v>0</v>
      </c>
      <c r="H352" s="450">
        <f t="shared" si="151"/>
        <v>0</v>
      </c>
      <c r="I352" s="450">
        <f t="shared" si="151"/>
        <v>0</v>
      </c>
      <c r="J352" s="450">
        <f t="shared" si="151"/>
        <v>0</v>
      </c>
      <c r="K352" s="450">
        <f t="shared" si="151"/>
        <v>0</v>
      </c>
      <c r="L352" s="450">
        <f t="shared" si="151"/>
        <v>0</v>
      </c>
      <c r="M352" s="450">
        <f t="shared" si="151"/>
        <v>0</v>
      </c>
      <c r="N352" s="450">
        <f t="shared" si="151"/>
        <v>0</v>
      </c>
      <c r="O352" s="450">
        <f t="shared" si="151"/>
        <v>0</v>
      </c>
      <c r="P352" s="450">
        <f t="shared" si="151"/>
        <v>0</v>
      </c>
      <c r="Q352" s="450">
        <f>SUM(E352:P352)</f>
        <v>0</v>
      </c>
      <c r="R352" s="222"/>
    </row>
    <row r="353" spans="1:18" x14ac:dyDescent="0.2">
      <c r="A353" s="219"/>
      <c r="D353" s="219"/>
      <c r="F353" s="219"/>
      <c r="G353" s="219"/>
      <c r="H353" s="219"/>
      <c r="I353" s="219"/>
      <c r="J353" s="219"/>
      <c r="K353" s="219"/>
      <c r="L353" s="219"/>
      <c r="M353" s="219"/>
      <c r="N353" s="219"/>
      <c r="O353" s="219"/>
      <c r="P353" s="219"/>
      <c r="R353" s="222"/>
    </row>
    <row r="354" spans="1:18" x14ac:dyDescent="0.2">
      <c r="A354" s="259">
        <f>A352+1</f>
        <v>8</v>
      </c>
      <c r="B354" s="219" t="str">
        <f>Input!A54</f>
        <v>SC3</v>
      </c>
      <c r="C354" s="219" t="str">
        <f>'Sch M 2.1'!B49</f>
        <v>GTS Special Rate - Industrial</v>
      </c>
      <c r="D354" s="431"/>
      <c r="E354" s="462"/>
      <c r="F354" s="463"/>
      <c r="G354" s="463"/>
      <c r="H354" s="463"/>
      <c r="I354" s="464"/>
      <c r="J354" s="463"/>
      <c r="K354" s="463"/>
      <c r="L354" s="463"/>
      <c r="M354" s="463"/>
      <c r="N354" s="463"/>
      <c r="O354" s="463"/>
      <c r="P354" s="463"/>
      <c r="Q354" s="463"/>
    </row>
    <row r="355" spans="1:18" x14ac:dyDescent="0.2">
      <c r="A355" s="259">
        <f>A354+1</f>
        <v>9</v>
      </c>
      <c r="C355" s="444" t="s">
        <v>219</v>
      </c>
      <c r="D355" s="431"/>
      <c r="E355" s="240">
        <f t="shared" ref="E355:P355" si="152">E1232</f>
        <v>1</v>
      </c>
      <c r="F355" s="240">
        <f t="shared" si="152"/>
        <v>1</v>
      </c>
      <c r="G355" s="240">
        <f t="shared" si="152"/>
        <v>1</v>
      </c>
      <c r="H355" s="240">
        <f t="shared" si="152"/>
        <v>1</v>
      </c>
      <c r="I355" s="240">
        <f t="shared" si="152"/>
        <v>1</v>
      </c>
      <c r="J355" s="240">
        <f t="shared" si="152"/>
        <v>1</v>
      </c>
      <c r="K355" s="240">
        <f t="shared" si="152"/>
        <v>1</v>
      </c>
      <c r="L355" s="240">
        <f t="shared" si="152"/>
        <v>1</v>
      </c>
      <c r="M355" s="240">
        <f t="shared" si="152"/>
        <v>1</v>
      </c>
      <c r="N355" s="240">
        <f t="shared" si="152"/>
        <v>1</v>
      </c>
      <c r="O355" s="240">
        <f t="shared" si="152"/>
        <v>1</v>
      </c>
      <c r="P355" s="240">
        <f t="shared" si="152"/>
        <v>1</v>
      </c>
      <c r="Q355" s="240">
        <f>SUM(E355:P355)</f>
        <v>12</v>
      </c>
    </row>
    <row r="356" spans="1:18" x14ac:dyDescent="0.2">
      <c r="A356" s="259">
        <f>A355+1</f>
        <v>10</v>
      </c>
      <c r="C356" s="444" t="s">
        <v>567</v>
      </c>
      <c r="D356" s="431"/>
      <c r="E356" s="245">
        <f t="shared" ref="E356:P356" si="153">E1239</f>
        <v>165000</v>
      </c>
      <c r="F356" s="245">
        <f t="shared" si="153"/>
        <v>155000</v>
      </c>
      <c r="G356" s="245">
        <f t="shared" si="153"/>
        <v>140000</v>
      </c>
      <c r="H356" s="245">
        <f t="shared" si="153"/>
        <v>128000</v>
      </c>
      <c r="I356" s="245">
        <f t="shared" si="153"/>
        <v>111000</v>
      </c>
      <c r="J356" s="245">
        <f t="shared" si="153"/>
        <v>102000</v>
      </c>
      <c r="K356" s="245">
        <f t="shared" si="153"/>
        <v>102000</v>
      </c>
      <c r="L356" s="245">
        <f t="shared" si="153"/>
        <v>102000</v>
      </c>
      <c r="M356" s="245">
        <f t="shared" si="153"/>
        <v>120000</v>
      </c>
      <c r="N356" s="245">
        <f t="shared" si="153"/>
        <v>145000</v>
      </c>
      <c r="O356" s="245">
        <f t="shared" si="153"/>
        <v>150000</v>
      </c>
      <c r="P356" s="245">
        <f t="shared" si="153"/>
        <v>160000</v>
      </c>
      <c r="Q356" s="245">
        <f>SUM(E356:P356)</f>
        <v>1580000</v>
      </c>
    </row>
    <row r="357" spans="1:18" x14ac:dyDescent="0.2">
      <c r="A357" s="259">
        <f>A356+1</f>
        <v>11</v>
      </c>
      <c r="C357" s="444" t="s">
        <v>221</v>
      </c>
      <c r="D357" s="431"/>
      <c r="E357" s="427">
        <f t="shared" ref="E357:P357" si="154">E1245</f>
        <v>46962.95</v>
      </c>
      <c r="F357" s="427">
        <f t="shared" si="154"/>
        <v>45362.95</v>
      </c>
      <c r="G357" s="427">
        <f t="shared" si="154"/>
        <v>41662.949999999997</v>
      </c>
      <c r="H357" s="427">
        <f t="shared" si="154"/>
        <v>39742.949999999997</v>
      </c>
      <c r="I357" s="427">
        <f t="shared" si="154"/>
        <v>35722.949999999997</v>
      </c>
      <c r="J357" s="427">
        <f t="shared" si="154"/>
        <v>34282.949999999997</v>
      </c>
      <c r="K357" s="427">
        <f t="shared" si="154"/>
        <v>34282.949999999997</v>
      </c>
      <c r="L357" s="427">
        <f t="shared" si="154"/>
        <v>34282.949999999997</v>
      </c>
      <c r="M357" s="427">
        <f t="shared" si="154"/>
        <v>37162.949999999997</v>
      </c>
      <c r="N357" s="427">
        <f t="shared" si="154"/>
        <v>41162.949999999997</v>
      </c>
      <c r="O357" s="427">
        <f t="shared" si="154"/>
        <v>43262.95</v>
      </c>
      <c r="P357" s="427">
        <f t="shared" si="154"/>
        <v>46162.95</v>
      </c>
      <c r="Q357" s="427">
        <f>SUM(E357:P357)</f>
        <v>480055.40000000008</v>
      </c>
    </row>
    <row r="358" spans="1:18" x14ac:dyDescent="0.2">
      <c r="A358" s="259">
        <f>A357+1</f>
        <v>12</v>
      </c>
      <c r="C358" s="444" t="s">
        <v>644</v>
      </c>
      <c r="D358" s="431"/>
      <c r="E358" s="427">
        <f t="shared" ref="E358:P358" si="155">E1247</f>
        <v>0</v>
      </c>
      <c r="F358" s="427">
        <f t="shared" si="155"/>
        <v>0</v>
      </c>
      <c r="G358" s="427">
        <f t="shared" si="155"/>
        <v>0</v>
      </c>
      <c r="H358" s="427">
        <f t="shared" si="155"/>
        <v>0</v>
      </c>
      <c r="I358" s="427">
        <f t="shared" si="155"/>
        <v>0</v>
      </c>
      <c r="J358" s="427">
        <f t="shared" si="155"/>
        <v>0</v>
      </c>
      <c r="K358" s="427">
        <f t="shared" si="155"/>
        <v>0</v>
      </c>
      <c r="L358" s="427">
        <f t="shared" si="155"/>
        <v>0</v>
      </c>
      <c r="M358" s="427">
        <f t="shared" si="155"/>
        <v>0</v>
      </c>
      <c r="N358" s="427">
        <f t="shared" si="155"/>
        <v>0</v>
      </c>
      <c r="O358" s="427">
        <f t="shared" si="155"/>
        <v>0</v>
      </c>
      <c r="P358" s="427">
        <f t="shared" si="155"/>
        <v>185945</v>
      </c>
      <c r="Q358" s="427">
        <f>SUM(E358:P358)</f>
        <v>185945</v>
      </c>
    </row>
    <row r="359" spans="1:18" x14ac:dyDescent="0.2">
      <c r="A359" s="713">
        <f>A358+1</f>
        <v>13</v>
      </c>
      <c r="B359" s="447"/>
      <c r="C359" s="448" t="s">
        <v>568</v>
      </c>
      <c r="D359" s="465"/>
      <c r="E359" s="450">
        <f t="shared" ref="E359:P359" si="156">E1249</f>
        <v>46962.95</v>
      </c>
      <c r="F359" s="450">
        <f t="shared" si="156"/>
        <v>45362.95</v>
      </c>
      <c r="G359" s="450">
        <f t="shared" si="156"/>
        <v>41662.949999999997</v>
      </c>
      <c r="H359" s="450">
        <f t="shared" si="156"/>
        <v>39742.949999999997</v>
      </c>
      <c r="I359" s="450">
        <f t="shared" si="156"/>
        <v>35722.949999999997</v>
      </c>
      <c r="J359" s="450">
        <f t="shared" si="156"/>
        <v>34282.949999999997</v>
      </c>
      <c r="K359" s="450">
        <f t="shared" si="156"/>
        <v>34282.949999999997</v>
      </c>
      <c r="L359" s="450">
        <f t="shared" si="156"/>
        <v>34282.949999999997</v>
      </c>
      <c r="M359" s="450">
        <f t="shared" si="156"/>
        <v>37162.949999999997</v>
      </c>
      <c r="N359" s="450">
        <f t="shared" si="156"/>
        <v>41162.949999999997</v>
      </c>
      <c r="O359" s="450">
        <f t="shared" si="156"/>
        <v>43262.95</v>
      </c>
      <c r="P359" s="450">
        <f t="shared" si="156"/>
        <v>232107.95</v>
      </c>
      <c r="Q359" s="450">
        <f>SUM(E359:P359)</f>
        <v>666000.40000000014</v>
      </c>
    </row>
    <row r="360" spans="1:18" x14ac:dyDescent="0.2">
      <c r="D360" s="431"/>
      <c r="E360" s="462"/>
      <c r="F360" s="463"/>
      <c r="G360" s="463"/>
      <c r="H360" s="463"/>
      <c r="I360" s="464"/>
      <c r="J360" s="463"/>
      <c r="K360" s="463"/>
      <c r="L360" s="463"/>
      <c r="M360" s="463"/>
      <c r="N360" s="463"/>
      <c r="O360" s="463"/>
      <c r="P360" s="463"/>
      <c r="Q360" s="463"/>
    </row>
    <row r="361" spans="1:18" x14ac:dyDescent="0.2">
      <c r="A361" s="259">
        <f>A359+1</f>
        <v>14</v>
      </c>
      <c r="B361" s="219" t="s">
        <v>106</v>
      </c>
      <c r="E361" s="427">
        <f>E69+E76+E83+E90+E97+E104+E131+E138+E145+E152+E159+E186+E193+E200+E227+E234+E241+E248+E255+E262+E290+E297+E304+E311+E318+E325+E352+E359</f>
        <v>16915691.480000004</v>
      </c>
      <c r="F361" s="427">
        <f t="shared" ref="F361:P361" si="157">F69+F76+F83+F90+F97+F104+F131+F138+F145+F152+F159+F186+F193+F200+F227+F234+F241+F248+F255+F262+F290+F297+F304+F311+F318+F325+F352+F359</f>
        <v>16520004.4</v>
      </c>
      <c r="G361" s="427">
        <f t="shared" si="157"/>
        <v>13123977.119999997</v>
      </c>
      <c r="H361" s="427">
        <f t="shared" si="157"/>
        <v>9064879.9099999983</v>
      </c>
      <c r="I361" s="427">
        <f t="shared" si="157"/>
        <v>6118464.6799999988</v>
      </c>
      <c r="J361" s="427">
        <f t="shared" si="157"/>
        <v>4782147.6100000003</v>
      </c>
      <c r="K361" s="427">
        <f t="shared" si="157"/>
        <v>4367143.82</v>
      </c>
      <c r="L361" s="427">
        <f t="shared" si="157"/>
        <v>4349722.660000002</v>
      </c>
      <c r="M361" s="427">
        <f t="shared" si="157"/>
        <v>4395621.7500000009</v>
      </c>
      <c r="N361" s="427">
        <f t="shared" si="157"/>
        <v>5027067.7799999993</v>
      </c>
      <c r="O361" s="427">
        <f t="shared" si="157"/>
        <v>7565038.2800000012</v>
      </c>
      <c r="P361" s="427">
        <f t="shared" si="157"/>
        <v>12758287.079999998</v>
      </c>
      <c r="Q361" s="427">
        <f>SUM(E361:P361)</f>
        <v>104988046.56999999</v>
      </c>
    </row>
    <row r="362" spans="1:18" x14ac:dyDescent="0.2">
      <c r="K362" s="288"/>
    </row>
    <row r="363" spans="1:18" x14ac:dyDescent="0.2">
      <c r="A363" s="259">
        <f>A361+1</f>
        <v>15</v>
      </c>
      <c r="C363" s="438" t="s">
        <v>102</v>
      </c>
      <c r="K363" s="288"/>
    </row>
    <row r="364" spans="1:18" x14ac:dyDescent="0.2">
      <c r="K364" s="288"/>
    </row>
    <row r="365" spans="1:18" x14ac:dyDescent="0.2">
      <c r="A365" s="259">
        <f>A363+1</f>
        <v>16</v>
      </c>
      <c r="C365" s="219" t="s">
        <v>179</v>
      </c>
      <c r="E365" s="427">
        <f>'Sch M 2.2'!E369+ROUND('Late Payment MPB-2'!$F$59/12,0)</f>
        <v>61811</v>
      </c>
      <c r="F365" s="427">
        <f>'Sch M 2.2'!F369+ROUND('Late Payment MPB-2'!$F$59/12,0)</f>
        <v>84811</v>
      </c>
      <c r="G365" s="427">
        <f>'Sch M 2.2'!G369+ROUND('Late Payment MPB-2'!$F$59/12,0)</f>
        <v>83811</v>
      </c>
      <c r="H365" s="427">
        <f>'Sch M 2.2'!H369+ROUND('Late Payment MPB-2'!$F$59/12,0)</f>
        <v>79811</v>
      </c>
      <c r="I365" s="427">
        <f>'Sch M 2.2'!I369+ROUND('Late Payment MPB-2'!$F$59/12,0)</f>
        <v>45811</v>
      </c>
      <c r="J365" s="427">
        <f>'Sch M 2.2'!J369+ROUND('Late Payment MPB-2'!$F$59/12,0)</f>
        <v>30811</v>
      </c>
      <c r="K365" s="427">
        <f>'Sch M 2.2'!K369+ROUND('Late Payment MPB-2'!$F$59/12,0)</f>
        <v>25811</v>
      </c>
      <c r="L365" s="427">
        <f>'Sch M 2.2'!L369+ROUND('Late Payment MPB-2'!$F$59/12,0)</f>
        <v>24811</v>
      </c>
      <c r="M365" s="427">
        <f>'Sch M 2.2'!M369+ROUND('Late Payment MPB-2'!$F$59/12,0)</f>
        <v>27811</v>
      </c>
      <c r="N365" s="427">
        <f>'Sch M 2.2'!N369+ROUND('Late Payment MPB-2'!$F$59/12,0)</f>
        <v>16811</v>
      </c>
      <c r="O365" s="427">
        <f>'Sch M 2.2'!O369+ROUND('Late Payment MPB-2'!$F$59/12,0)</f>
        <v>23811</v>
      </c>
      <c r="P365" s="427">
        <f>'Sch M 2.2'!P369+ROUND('Late Payment MPB-2'!$F$59/12,0)</f>
        <v>39811</v>
      </c>
      <c r="Q365" s="427">
        <f>SUM(E365:P365)</f>
        <v>545732</v>
      </c>
    </row>
    <row r="366" spans="1:18" x14ac:dyDescent="0.2">
      <c r="A366" s="259">
        <f>A365+1</f>
        <v>17</v>
      </c>
      <c r="C366" s="219" t="s">
        <v>103</v>
      </c>
      <c r="E366" s="427">
        <f>'Sch M 2.2'!E370</f>
        <v>8000</v>
      </c>
      <c r="F366" s="427">
        <f>'Sch M 2.2'!F370</f>
        <v>9000</v>
      </c>
      <c r="G366" s="427">
        <f>'Sch M 2.2'!G370</f>
        <v>11000</v>
      </c>
      <c r="H366" s="427">
        <f>'Sch M 2.2'!H370</f>
        <v>13000</v>
      </c>
      <c r="I366" s="427">
        <f>'Sch M 2.2'!I370</f>
        <v>10000</v>
      </c>
      <c r="J366" s="427">
        <f>'Sch M 2.2'!J370</f>
        <v>11000</v>
      </c>
      <c r="K366" s="427">
        <f>'Sch M 2.2'!K370</f>
        <v>9000</v>
      </c>
      <c r="L366" s="427">
        <f>'Sch M 2.2'!L370</f>
        <v>8000</v>
      </c>
      <c r="M366" s="427">
        <f>'Sch M 2.2'!M370</f>
        <v>9000</v>
      </c>
      <c r="N366" s="427">
        <f>'Sch M 2.2'!N370</f>
        <v>19000</v>
      </c>
      <c r="O366" s="427">
        <f>'Sch M 2.2'!O370</f>
        <v>20000</v>
      </c>
      <c r="P366" s="427">
        <f>'Sch M 2.2'!P370</f>
        <v>10000</v>
      </c>
      <c r="Q366" s="427">
        <f>SUM(E366:P366)</f>
        <v>137000</v>
      </c>
    </row>
    <row r="367" spans="1:18" x14ac:dyDescent="0.2">
      <c r="A367" s="259">
        <f>A366+1</f>
        <v>18</v>
      </c>
      <c r="C367" s="219" t="s">
        <v>314</v>
      </c>
      <c r="E367" s="427">
        <f>'Sch M 2.2'!E371</f>
        <v>6000</v>
      </c>
      <c r="F367" s="427">
        <f>'Sch M 2.2'!F371</f>
        <v>6000</v>
      </c>
      <c r="G367" s="427">
        <f>'Sch M 2.2'!G371</f>
        <v>6000</v>
      </c>
      <c r="H367" s="427">
        <f>'Sch M 2.2'!H371</f>
        <v>6000</v>
      </c>
      <c r="I367" s="427">
        <f>'Sch M 2.2'!I371</f>
        <v>6000</v>
      </c>
      <c r="J367" s="427">
        <f>'Sch M 2.2'!J371</f>
        <v>6000</v>
      </c>
      <c r="K367" s="427">
        <f>'Sch M 2.2'!K371</f>
        <v>6000</v>
      </c>
      <c r="L367" s="427">
        <f>'Sch M 2.2'!L371</f>
        <v>6000</v>
      </c>
      <c r="M367" s="427">
        <f>'Sch M 2.2'!M371</f>
        <v>6000</v>
      </c>
      <c r="N367" s="427">
        <f>'Sch M 2.2'!N371</f>
        <v>6000</v>
      </c>
      <c r="O367" s="427">
        <f>'Sch M 2.2'!O371</f>
        <v>6000</v>
      </c>
      <c r="P367" s="427">
        <f>'Sch M 2.2'!P371</f>
        <v>6000</v>
      </c>
      <c r="Q367" s="427">
        <f>SUM(E367:P367)</f>
        <v>72000</v>
      </c>
    </row>
    <row r="368" spans="1:18" x14ac:dyDescent="0.2">
      <c r="A368" s="259">
        <f>A367+1</f>
        <v>19</v>
      </c>
      <c r="C368" s="219" t="s">
        <v>104</v>
      </c>
      <c r="E368" s="427">
        <f>'Sch M 2.2'!E372</f>
        <v>0</v>
      </c>
      <c r="F368" s="427">
        <f>'Sch M 2.2'!F372</f>
        <v>0</v>
      </c>
      <c r="G368" s="427">
        <f>'Sch M 2.2'!G372</f>
        <v>0</v>
      </c>
      <c r="H368" s="427">
        <f>'Sch M 2.2'!H372</f>
        <v>0</v>
      </c>
      <c r="I368" s="427">
        <f>'Sch M 2.2'!I372</f>
        <v>0</v>
      </c>
      <c r="J368" s="427">
        <f>'Sch M 2.2'!J372</f>
        <v>0</v>
      </c>
      <c r="K368" s="427">
        <f>'Sch M 2.2'!K372</f>
        <v>0</v>
      </c>
      <c r="L368" s="427">
        <f>'Sch M 2.2'!L372</f>
        <v>0</v>
      </c>
      <c r="M368" s="427">
        <f>'Sch M 2.2'!M372</f>
        <v>0</v>
      </c>
      <c r="N368" s="427">
        <f>'Sch M 2.2'!N372</f>
        <v>0</v>
      </c>
      <c r="O368" s="427">
        <f>'Sch M 2.2'!O372</f>
        <v>0</v>
      </c>
      <c r="P368" s="427">
        <f>'Sch M 2.2'!P372</f>
        <v>0</v>
      </c>
      <c r="Q368" s="427">
        <f>SUM(E368:P368)</f>
        <v>0</v>
      </c>
    </row>
    <row r="369" spans="1:17" x14ac:dyDescent="0.2">
      <c r="A369" s="259">
        <f>A368+1</f>
        <v>20</v>
      </c>
      <c r="C369" s="219" t="s">
        <v>105</v>
      </c>
      <c r="E369" s="427">
        <f>'Sch M 2.2'!E373</f>
        <v>66000</v>
      </c>
      <c r="F369" s="427">
        <f>'Sch M 2.2'!F373</f>
        <v>58000</v>
      </c>
      <c r="G369" s="427">
        <f>'Sch M 2.2'!G373</f>
        <v>61000</v>
      </c>
      <c r="H369" s="427">
        <f>'Sch M 2.2'!H373</f>
        <v>85000</v>
      </c>
      <c r="I369" s="427">
        <f>'Sch M 2.2'!I373</f>
        <v>24000</v>
      </c>
      <c r="J369" s="427">
        <f>'Sch M 2.2'!J373</f>
        <v>19000</v>
      </c>
      <c r="K369" s="427">
        <f>'Sch M 2.2'!K373</f>
        <v>16000</v>
      </c>
      <c r="L369" s="427">
        <f>'Sch M 2.2'!L373</f>
        <v>15000</v>
      </c>
      <c r="M369" s="427">
        <f>'Sch M 2.2'!M373</f>
        <v>16000</v>
      </c>
      <c r="N369" s="427">
        <f>'Sch M 2.2'!N373</f>
        <v>18000</v>
      </c>
      <c r="O369" s="427">
        <f>'Sch M 2.2'!O373</f>
        <v>25000</v>
      </c>
      <c r="P369" s="427">
        <f>'Sch M 2.2'!P373</f>
        <v>112000</v>
      </c>
      <c r="Q369" s="427">
        <f>SUM(E369:P369)</f>
        <v>515000</v>
      </c>
    </row>
    <row r="370" spans="1:17" x14ac:dyDescent="0.2">
      <c r="K370" s="288"/>
    </row>
    <row r="371" spans="1:17" x14ac:dyDescent="0.2">
      <c r="A371" s="259">
        <f>A369+1</f>
        <v>21</v>
      </c>
      <c r="B371" s="219" t="s">
        <v>107</v>
      </c>
      <c r="E371" s="427">
        <f t="shared" ref="E371:P371" si="158">SUM(E365:E370)</f>
        <v>141811</v>
      </c>
      <c r="F371" s="427">
        <f t="shared" si="158"/>
        <v>157811</v>
      </c>
      <c r="G371" s="427">
        <f t="shared" si="158"/>
        <v>161811</v>
      </c>
      <c r="H371" s="427">
        <f t="shared" si="158"/>
        <v>183811</v>
      </c>
      <c r="I371" s="427">
        <f t="shared" si="158"/>
        <v>85811</v>
      </c>
      <c r="J371" s="427">
        <f t="shared" si="158"/>
        <v>66811</v>
      </c>
      <c r="K371" s="427">
        <f t="shared" si="158"/>
        <v>56811</v>
      </c>
      <c r="L371" s="427">
        <f t="shared" si="158"/>
        <v>53811</v>
      </c>
      <c r="M371" s="427">
        <f t="shared" si="158"/>
        <v>58811</v>
      </c>
      <c r="N371" s="427">
        <f t="shared" si="158"/>
        <v>59811</v>
      </c>
      <c r="O371" s="427">
        <f t="shared" si="158"/>
        <v>74811</v>
      </c>
      <c r="P371" s="427">
        <f t="shared" si="158"/>
        <v>167811</v>
      </c>
      <c r="Q371" s="427">
        <f>SUM(E371:P371)</f>
        <v>1269732</v>
      </c>
    </row>
    <row r="372" spans="1:17" x14ac:dyDescent="0.2">
      <c r="C372" s="438"/>
      <c r="K372" s="288"/>
    </row>
    <row r="373" spans="1:17" x14ac:dyDescent="0.2">
      <c r="A373" s="713">
        <f>A371+1</f>
        <v>22</v>
      </c>
      <c r="B373" s="447" t="s">
        <v>108</v>
      </c>
      <c r="C373" s="447"/>
      <c r="D373" s="449"/>
      <c r="E373" s="450">
        <f t="shared" ref="E373:Q373" si="159">E361+E371</f>
        <v>17057502.480000004</v>
      </c>
      <c r="F373" s="450">
        <f t="shared" si="159"/>
        <v>16677815.4</v>
      </c>
      <c r="G373" s="450">
        <f t="shared" si="159"/>
        <v>13285788.119999997</v>
      </c>
      <c r="H373" s="450">
        <f t="shared" si="159"/>
        <v>9248690.9099999983</v>
      </c>
      <c r="I373" s="450">
        <f t="shared" si="159"/>
        <v>6204275.6799999988</v>
      </c>
      <c r="J373" s="450">
        <f t="shared" si="159"/>
        <v>4848958.6100000003</v>
      </c>
      <c r="K373" s="450">
        <f t="shared" si="159"/>
        <v>4423954.82</v>
      </c>
      <c r="L373" s="450">
        <f t="shared" si="159"/>
        <v>4403533.660000002</v>
      </c>
      <c r="M373" s="450">
        <f t="shared" si="159"/>
        <v>4454432.7500000009</v>
      </c>
      <c r="N373" s="450">
        <f t="shared" si="159"/>
        <v>5086878.7799999993</v>
      </c>
      <c r="O373" s="450">
        <f t="shared" si="159"/>
        <v>7639849.2800000012</v>
      </c>
      <c r="P373" s="450">
        <f t="shared" si="159"/>
        <v>12926098.079999998</v>
      </c>
      <c r="Q373" s="450">
        <f t="shared" si="159"/>
        <v>106257778.56999999</v>
      </c>
    </row>
    <row r="374" spans="1:17" x14ac:dyDescent="0.2">
      <c r="K374" s="288"/>
      <c r="P374" s="415"/>
      <c r="Q374" s="415"/>
    </row>
    <row r="375" spans="1:17" x14ac:dyDescent="0.2">
      <c r="A375" s="622" t="str">
        <f>$A$265</f>
        <v>[1] Reflects Normalized Volumes.</v>
      </c>
      <c r="P375" s="415"/>
      <c r="Q375" s="415"/>
    </row>
    <row r="376" spans="1:17" x14ac:dyDescent="0.2">
      <c r="A376" s="622" t="str">
        <f>$A$266</f>
        <v>[2] See Schedule M-2.2 Pages 8 through 21 for detail.</v>
      </c>
      <c r="B376" s="222"/>
      <c r="C376" s="222"/>
      <c r="P376" s="415"/>
      <c r="Q376" s="415"/>
    </row>
    <row r="377" spans="1:17" x14ac:dyDescent="0.2">
      <c r="A377" s="993" t="str">
        <f>CONAME</f>
        <v>Columbia Gas of Kentucky, Inc.</v>
      </c>
      <c r="B377" s="993"/>
      <c r="C377" s="993"/>
      <c r="D377" s="993"/>
      <c r="E377" s="993"/>
      <c r="F377" s="993"/>
      <c r="G377" s="993"/>
      <c r="H377" s="993"/>
      <c r="I377" s="993"/>
      <c r="J377" s="993"/>
      <c r="K377" s="993"/>
      <c r="L377" s="993"/>
      <c r="M377" s="993"/>
      <c r="N377" s="993"/>
      <c r="O377" s="993"/>
      <c r="P377" s="993"/>
      <c r="Q377" s="993"/>
    </row>
    <row r="378" spans="1:17" x14ac:dyDescent="0.2">
      <c r="A378" s="981" t="str">
        <f>case</f>
        <v>Case No. 2016-00162</v>
      </c>
      <c r="B378" s="981"/>
      <c r="C378" s="981"/>
      <c r="D378" s="981"/>
      <c r="E378" s="981"/>
      <c r="F378" s="981"/>
      <c r="G378" s="981"/>
      <c r="H378" s="981"/>
      <c r="I378" s="981"/>
      <c r="J378" s="981"/>
      <c r="K378" s="981"/>
      <c r="L378" s="981"/>
      <c r="M378" s="981"/>
      <c r="N378" s="981"/>
      <c r="O378" s="981"/>
      <c r="P378" s="981"/>
      <c r="Q378" s="981"/>
    </row>
    <row r="379" spans="1:17" x14ac:dyDescent="0.2">
      <c r="A379" s="994" t="s">
        <v>200</v>
      </c>
      <c r="B379" s="994"/>
      <c r="C379" s="994"/>
      <c r="D379" s="994"/>
      <c r="E379" s="994"/>
      <c r="F379" s="994"/>
      <c r="G379" s="994"/>
      <c r="H379" s="994"/>
      <c r="I379" s="994"/>
      <c r="J379" s="994"/>
      <c r="K379" s="994"/>
      <c r="L379" s="994"/>
      <c r="M379" s="994"/>
      <c r="N379" s="994"/>
      <c r="O379" s="994"/>
      <c r="P379" s="994"/>
      <c r="Q379" s="994"/>
    </row>
    <row r="380" spans="1:17" x14ac:dyDescent="0.2">
      <c r="A380" s="993" t="str">
        <f>TYDESC</f>
        <v>For the 12 Months Ended December 31, 2017</v>
      </c>
      <c r="B380" s="993"/>
      <c r="C380" s="993"/>
      <c r="D380" s="993"/>
      <c r="E380" s="993"/>
      <c r="F380" s="993"/>
      <c r="G380" s="993"/>
      <c r="H380" s="993"/>
      <c r="I380" s="993"/>
      <c r="J380" s="993"/>
      <c r="K380" s="993"/>
      <c r="L380" s="993"/>
      <c r="M380" s="993"/>
      <c r="N380" s="993"/>
      <c r="O380" s="993"/>
      <c r="P380" s="993"/>
      <c r="Q380" s="993"/>
    </row>
    <row r="381" spans="1:17" x14ac:dyDescent="0.2">
      <c r="A381" s="991" t="s">
        <v>39</v>
      </c>
      <c r="B381" s="991"/>
      <c r="C381" s="991"/>
      <c r="D381" s="991"/>
      <c r="E381" s="991"/>
      <c r="F381" s="991"/>
      <c r="G381" s="991"/>
      <c r="H381" s="991"/>
      <c r="I381" s="991"/>
      <c r="J381" s="991"/>
      <c r="K381" s="991"/>
      <c r="L381" s="991"/>
      <c r="M381" s="991"/>
      <c r="N381" s="991"/>
      <c r="O381" s="991"/>
      <c r="P381" s="991"/>
      <c r="Q381" s="991"/>
    </row>
    <row r="382" spans="1:17" x14ac:dyDescent="0.2">
      <c r="A382" s="711" t="str">
        <f>$A$52</f>
        <v>Data: __ Base Period _X_ Forecasted Period</v>
      </c>
    </row>
    <row r="383" spans="1:17" x14ac:dyDescent="0.2">
      <c r="A383" s="711" t="str">
        <f>$A$53</f>
        <v>Type of Filing: X Original _ Update _ Revised</v>
      </c>
      <c r="Q383" s="413" t="str">
        <f>$Q$53</f>
        <v>Schedule M-2.3</v>
      </c>
    </row>
    <row r="384" spans="1:17" x14ac:dyDescent="0.2">
      <c r="A384" s="711" t="str">
        <f>$A$54</f>
        <v>Work Paper Reference No(s):</v>
      </c>
      <c r="Q384" s="413" t="s">
        <v>501</v>
      </c>
    </row>
    <row r="385" spans="1:17" x14ac:dyDescent="0.2">
      <c r="A385" s="712" t="str">
        <f>$A$55</f>
        <v>12 Months Forecasted</v>
      </c>
      <c r="Q385" s="413" t="str">
        <f>Witness</f>
        <v>Witness:  M. J. Bell</v>
      </c>
    </row>
    <row r="386" spans="1:17" x14ac:dyDescent="0.2">
      <c r="A386" s="992" t="s">
        <v>293</v>
      </c>
      <c r="B386" s="992"/>
      <c r="C386" s="992"/>
      <c r="D386" s="992"/>
      <c r="E386" s="992"/>
      <c r="F386" s="992"/>
      <c r="G386" s="992"/>
      <c r="H386" s="992"/>
      <c r="I386" s="992"/>
      <c r="J386" s="992"/>
      <c r="K386" s="992"/>
      <c r="L386" s="992"/>
      <c r="M386" s="992"/>
      <c r="N386" s="992"/>
      <c r="O386" s="992"/>
      <c r="P386" s="992"/>
      <c r="Q386" s="992"/>
    </row>
    <row r="387" spans="1:17" x14ac:dyDescent="0.2">
      <c r="A387" s="225"/>
      <c r="B387" s="301"/>
      <c r="C387" s="301"/>
      <c r="D387" s="300"/>
      <c r="E387" s="301"/>
      <c r="F387" s="415"/>
      <c r="G387" s="435"/>
      <c r="H387" s="415"/>
      <c r="I387" s="436"/>
      <c r="J387" s="415"/>
      <c r="K387" s="415"/>
      <c r="L387" s="415"/>
      <c r="M387" s="415"/>
      <c r="N387" s="415"/>
      <c r="O387" s="415"/>
      <c r="P387" s="415"/>
      <c r="Q387" s="301"/>
    </row>
    <row r="388" spans="1:17" x14ac:dyDescent="0.2">
      <c r="A388" s="410" t="s">
        <v>1</v>
      </c>
      <c r="B388" s="224" t="s">
        <v>0</v>
      </c>
      <c r="C388" s="224" t="s">
        <v>41</v>
      </c>
      <c r="D388" s="416" t="s">
        <v>30</v>
      </c>
      <c r="E388" s="224"/>
      <c r="F388" s="417"/>
      <c r="G388" s="418"/>
      <c r="H388" s="417"/>
      <c r="I388" s="419"/>
      <c r="J388" s="417"/>
      <c r="K388" s="417"/>
      <c r="L388" s="417"/>
      <c r="M388" s="417"/>
      <c r="N388" s="417"/>
      <c r="O388" s="417"/>
      <c r="P388" s="417"/>
      <c r="Q388" s="229"/>
    </row>
    <row r="389" spans="1:17" x14ac:dyDescent="0.2">
      <c r="A389" s="281" t="s">
        <v>3</v>
      </c>
      <c r="B389" s="226" t="s">
        <v>40</v>
      </c>
      <c r="C389" s="226" t="s">
        <v>4</v>
      </c>
      <c r="D389" s="420" t="s">
        <v>48</v>
      </c>
      <c r="E389" s="421" t="str">
        <f>B!$D$11</f>
        <v>Jan-17</v>
      </c>
      <c r="F389" s="421" t="str">
        <f>B!$E$11</f>
        <v>Feb-17</v>
      </c>
      <c r="G389" s="421" t="str">
        <f>B!$F$11</f>
        <v>Mar-17</v>
      </c>
      <c r="H389" s="421" t="str">
        <f>B!$G$11</f>
        <v>Apr-17</v>
      </c>
      <c r="I389" s="421" t="str">
        <f>B!$H$11</f>
        <v>May-17</v>
      </c>
      <c r="J389" s="421" t="str">
        <f>B!$I$11</f>
        <v>Jun-17</v>
      </c>
      <c r="K389" s="421" t="str">
        <f>B!$J$11</f>
        <v>Jul-17</v>
      </c>
      <c r="L389" s="421" t="str">
        <f>B!$K$11</f>
        <v>Aug-17</v>
      </c>
      <c r="M389" s="421" t="str">
        <f>B!$L$11</f>
        <v>Sep-17</v>
      </c>
      <c r="N389" s="421" t="str">
        <f>B!$M$11</f>
        <v>Oct-17</v>
      </c>
      <c r="O389" s="421" t="str">
        <f>B!$N$11</f>
        <v>Nov-17</v>
      </c>
      <c r="P389" s="421" t="str">
        <f>B!$O$11</f>
        <v>Dec-17</v>
      </c>
      <c r="Q389" s="422" t="s">
        <v>9</v>
      </c>
    </row>
    <row r="390" spans="1:17" x14ac:dyDescent="0.2">
      <c r="A390" s="410"/>
      <c r="B390" s="229" t="s">
        <v>42</v>
      </c>
      <c r="C390" s="229" t="s">
        <v>43</v>
      </c>
      <c r="D390" s="423" t="s">
        <v>45</v>
      </c>
      <c r="E390" s="424" t="s">
        <v>46</v>
      </c>
      <c r="F390" s="424" t="s">
        <v>49</v>
      </c>
      <c r="G390" s="424" t="s">
        <v>50</v>
      </c>
      <c r="H390" s="424" t="s">
        <v>51</v>
      </c>
      <c r="I390" s="424" t="s">
        <v>52</v>
      </c>
      <c r="J390" s="425" t="s">
        <v>53</v>
      </c>
      <c r="K390" s="425" t="s">
        <v>54</v>
      </c>
      <c r="L390" s="425" t="s">
        <v>55</v>
      </c>
      <c r="M390" s="425" t="s">
        <v>56</v>
      </c>
      <c r="N390" s="425" t="s">
        <v>57</v>
      </c>
      <c r="O390" s="425" t="s">
        <v>58</v>
      </c>
      <c r="P390" s="425" t="s">
        <v>59</v>
      </c>
      <c r="Q390" s="425" t="s">
        <v>203</v>
      </c>
    </row>
    <row r="391" spans="1:17" x14ac:dyDescent="0.2">
      <c r="E391" s="229"/>
      <c r="F391" s="425"/>
      <c r="G391" s="437"/>
      <c r="H391" s="425"/>
      <c r="I391" s="424"/>
      <c r="J391" s="425"/>
      <c r="K391" s="425"/>
      <c r="L391" s="425"/>
      <c r="M391" s="425"/>
      <c r="N391" s="425"/>
      <c r="O391" s="425"/>
      <c r="P391" s="425"/>
      <c r="Q391" s="229"/>
    </row>
    <row r="393" spans="1:17" x14ac:dyDescent="0.2">
      <c r="A393" s="259">
        <v>1</v>
      </c>
      <c r="B393" s="219" t="str">
        <f>B64</f>
        <v>GSR</v>
      </c>
      <c r="C393" s="219" t="str">
        <f>C64</f>
        <v>General Service - Residential</v>
      </c>
    </row>
    <row r="395" spans="1:17" x14ac:dyDescent="0.2">
      <c r="A395" s="259">
        <f>A393+1</f>
        <v>2</v>
      </c>
      <c r="C395" s="223" t="s">
        <v>109</v>
      </c>
      <c r="I395" s="293"/>
      <c r="J395" s="288"/>
    </row>
    <row r="396" spans="1:17" x14ac:dyDescent="0.2">
      <c r="I396" s="293"/>
      <c r="J396" s="288"/>
    </row>
    <row r="397" spans="1:17" x14ac:dyDescent="0.2">
      <c r="A397" s="259">
        <f>A395+1</f>
        <v>3</v>
      </c>
      <c r="C397" s="219" t="s">
        <v>202</v>
      </c>
      <c r="D397" s="471"/>
      <c r="E397" s="472">
        <f>B!D17</f>
        <v>99289</v>
      </c>
      <c r="F397" s="472">
        <f>B!E17</f>
        <v>99473</v>
      </c>
      <c r="G397" s="472">
        <f>B!F17</f>
        <v>99542</v>
      </c>
      <c r="H397" s="472">
        <f>B!G17</f>
        <v>99522</v>
      </c>
      <c r="I397" s="472">
        <f>B!H17</f>
        <v>99040</v>
      </c>
      <c r="J397" s="472">
        <f>B!I17</f>
        <v>98094</v>
      </c>
      <c r="K397" s="472">
        <f>B!J17</f>
        <v>97239</v>
      </c>
      <c r="L397" s="472">
        <f>B!K17</f>
        <v>97617</v>
      </c>
      <c r="M397" s="472">
        <f>B!L17</f>
        <v>96979</v>
      </c>
      <c r="N397" s="472">
        <f>B!M17</f>
        <v>96955</v>
      </c>
      <c r="O397" s="472">
        <f>B!N17</f>
        <v>97991</v>
      </c>
      <c r="P397" s="472">
        <f>B!O17</f>
        <v>98925</v>
      </c>
      <c r="Q397" s="473">
        <f>SUM(E397:P397)</f>
        <v>1180666</v>
      </c>
    </row>
    <row r="398" spans="1:17" x14ac:dyDescent="0.2">
      <c r="A398" s="259">
        <f>A397+1</f>
        <v>4</v>
      </c>
      <c r="C398" s="219" t="s">
        <v>210</v>
      </c>
      <c r="D398" s="781">
        <f>Input!U19</f>
        <v>16</v>
      </c>
      <c r="E398" s="427">
        <f t="shared" ref="E398:P398" si="160">ROUND(E397*$D$398,2)</f>
        <v>1588624</v>
      </c>
      <c r="F398" s="427">
        <f t="shared" si="160"/>
        <v>1591568</v>
      </c>
      <c r="G398" s="427">
        <f t="shared" si="160"/>
        <v>1592672</v>
      </c>
      <c r="H398" s="427">
        <f t="shared" si="160"/>
        <v>1592352</v>
      </c>
      <c r="I398" s="427">
        <f t="shared" si="160"/>
        <v>1584640</v>
      </c>
      <c r="J398" s="427">
        <f t="shared" si="160"/>
        <v>1569504</v>
      </c>
      <c r="K398" s="427">
        <f t="shared" si="160"/>
        <v>1555824</v>
      </c>
      <c r="L398" s="427">
        <f t="shared" si="160"/>
        <v>1561872</v>
      </c>
      <c r="M398" s="427">
        <f t="shared" si="160"/>
        <v>1551664</v>
      </c>
      <c r="N398" s="427">
        <f t="shared" si="160"/>
        <v>1551280</v>
      </c>
      <c r="O398" s="427">
        <f t="shared" si="160"/>
        <v>1567856</v>
      </c>
      <c r="P398" s="427">
        <f t="shared" si="160"/>
        <v>1582800</v>
      </c>
      <c r="Q398" s="427">
        <f>SUM(E398:P398)</f>
        <v>18890656</v>
      </c>
    </row>
    <row r="399" spans="1:17" x14ac:dyDescent="0.2">
      <c r="A399" s="259">
        <f>A398+1</f>
        <v>5</v>
      </c>
      <c r="C399" s="219" t="s">
        <v>211</v>
      </c>
      <c r="D399" s="781">
        <f>Input!W19</f>
        <v>0</v>
      </c>
      <c r="E399" s="427">
        <f t="shared" ref="E399:P399" si="161">ROUND(E397*$D$399,2)</f>
        <v>0</v>
      </c>
      <c r="F399" s="427">
        <f t="shared" si="161"/>
        <v>0</v>
      </c>
      <c r="G399" s="427">
        <f t="shared" si="161"/>
        <v>0</v>
      </c>
      <c r="H399" s="427">
        <f t="shared" si="161"/>
        <v>0</v>
      </c>
      <c r="I399" s="427">
        <f t="shared" si="161"/>
        <v>0</v>
      </c>
      <c r="J399" s="427">
        <f t="shared" si="161"/>
        <v>0</v>
      </c>
      <c r="K399" s="427">
        <f t="shared" si="161"/>
        <v>0</v>
      </c>
      <c r="L399" s="427">
        <f t="shared" si="161"/>
        <v>0</v>
      </c>
      <c r="M399" s="427">
        <f t="shared" si="161"/>
        <v>0</v>
      </c>
      <c r="N399" s="427">
        <f t="shared" si="161"/>
        <v>0</v>
      </c>
      <c r="O399" s="427">
        <f t="shared" si="161"/>
        <v>0</v>
      </c>
      <c r="P399" s="427">
        <f t="shared" si="161"/>
        <v>0</v>
      </c>
      <c r="Q399" s="427">
        <f>SUM(E399:P399)</f>
        <v>0</v>
      </c>
    </row>
    <row r="400" spans="1:17" x14ac:dyDescent="0.2">
      <c r="D400" s="474"/>
      <c r="E400" s="475"/>
      <c r="I400" s="293"/>
      <c r="J400" s="288"/>
    </row>
    <row r="401" spans="1:17" x14ac:dyDescent="0.2">
      <c r="A401" s="259">
        <f>A399+1</f>
        <v>6</v>
      </c>
      <c r="C401" s="240" t="s">
        <v>209</v>
      </c>
      <c r="D401" s="474"/>
      <c r="E401" s="476">
        <f>'C'!D17</f>
        <v>1331907.1000000001</v>
      </c>
      <c r="F401" s="476">
        <f>'C'!E17</f>
        <v>1291151.8</v>
      </c>
      <c r="G401" s="476">
        <f>'C'!F17</f>
        <v>968403</v>
      </c>
      <c r="H401" s="476">
        <f>'C'!G17</f>
        <v>552553.4</v>
      </c>
      <c r="I401" s="476">
        <f>'C'!H17</f>
        <v>259776.40000000002</v>
      </c>
      <c r="J401" s="476">
        <f>'C'!I17</f>
        <v>123911.3</v>
      </c>
      <c r="K401" s="476">
        <f>'C'!J17</f>
        <v>88930</v>
      </c>
      <c r="L401" s="476">
        <f>'C'!K17</f>
        <v>85940.7</v>
      </c>
      <c r="M401" s="476">
        <f>'C'!L17</f>
        <v>88922.9</v>
      </c>
      <c r="N401" s="476">
        <f>'C'!M17</f>
        <v>141784.29999999999</v>
      </c>
      <c r="O401" s="476">
        <f>'C'!N17</f>
        <v>408542.4</v>
      </c>
      <c r="P401" s="476">
        <f>'C'!O17</f>
        <v>906257.2</v>
      </c>
      <c r="Q401" s="477">
        <f>SUM(E401:P401)</f>
        <v>6248080.5000000009</v>
      </c>
    </row>
    <row r="402" spans="1:17" x14ac:dyDescent="0.2">
      <c r="A402" s="259">
        <f>A401+1</f>
        <v>7</v>
      </c>
      <c r="C402" s="301" t="s">
        <v>569</v>
      </c>
      <c r="D402" s="782">
        <f>Input!P19</f>
        <v>3.5926999999999998</v>
      </c>
      <c r="E402" s="427">
        <f t="shared" ref="E402:P402" si="162">ROUND(E401*$D$402,2)</f>
        <v>4785142.6399999997</v>
      </c>
      <c r="F402" s="427">
        <f t="shared" si="162"/>
        <v>4638721.07</v>
      </c>
      <c r="G402" s="427">
        <f t="shared" si="162"/>
        <v>3479181.46</v>
      </c>
      <c r="H402" s="427">
        <f t="shared" si="162"/>
        <v>1985158.6</v>
      </c>
      <c r="I402" s="427">
        <f t="shared" si="162"/>
        <v>933298.67</v>
      </c>
      <c r="J402" s="427">
        <f t="shared" si="162"/>
        <v>445176.13</v>
      </c>
      <c r="K402" s="427">
        <f t="shared" si="162"/>
        <v>319498.81</v>
      </c>
      <c r="L402" s="427">
        <f t="shared" si="162"/>
        <v>308759.15000000002</v>
      </c>
      <c r="M402" s="427">
        <f t="shared" si="162"/>
        <v>319473.3</v>
      </c>
      <c r="N402" s="427">
        <f t="shared" si="162"/>
        <v>509388.45</v>
      </c>
      <c r="O402" s="427">
        <f t="shared" si="162"/>
        <v>1467770.28</v>
      </c>
      <c r="P402" s="427">
        <f t="shared" si="162"/>
        <v>3255910.24</v>
      </c>
      <c r="Q402" s="427">
        <f>SUM(E402:P402)</f>
        <v>22447478.800000004</v>
      </c>
    </row>
    <row r="403" spans="1:17" x14ac:dyDescent="0.2">
      <c r="C403" s="301"/>
      <c r="D403" s="479"/>
      <c r="E403" s="480"/>
      <c r="F403" s="480"/>
      <c r="G403" s="480"/>
      <c r="H403" s="480"/>
      <c r="I403" s="480"/>
      <c r="J403" s="480"/>
      <c r="K403" s="480"/>
      <c r="L403" s="480"/>
      <c r="M403" s="480"/>
      <c r="N403" s="480"/>
      <c r="O403" s="480"/>
      <c r="P403" s="480"/>
      <c r="Q403" s="481"/>
    </row>
    <row r="404" spans="1:17" x14ac:dyDescent="0.2">
      <c r="A404" s="259">
        <f>A402+1</f>
        <v>8</v>
      </c>
      <c r="C404" s="219" t="s">
        <v>204</v>
      </c>
      <c r="D404" s="479"/>
      <c r="E404" s="427">
        <f t="shared" ref="E404:P404" si="163">E398+E399+E402</f>
        <v>6373766.6399999997</v>
      </c>
      <c r="F404" s="427">
        <f t="shared" si="163"/>
        <v>6230289.0700000003</v>
      </c>
      <c r="G404" s="427">
        <f t="shared" si="163"/>
        <v>5071853.46</v>
      </c>
      <c r="H404" s="427">
        <f t="shared" si="163"/>
        <v>3577510.6</v>
      </c>
      <c r="I404" s="427">
        <f t="shared" si="163"/>
        <v>2517938.67</v>
      </c>
      <c r="J404" s="427">
        <f t="shared" si="163"/>
        <v>2014680.13</v>
      </c>
      <c r="K404" s="427">
        <f t="shared" si="163"/>
        <v>1875322.81</v>
      </c>
      <c r="L404" s="427">
        <f t="shared" si="163"/>
        <v>1870631.15</v>
      </c>
      <c r="M404" s="427">
        <f t="shared" si="163"/>
        <v>1871137.3</v>
      </c>
      <c r="N404" s="427">
        <f t="shared" si="163"/>
        <v>2060668.45</v>
      </c>
      <c r="O404" s="427">
        <f t="shared" si="163"/>
        <v>3035626.2800000003</v>
      </c>
      <c r="P404" s="427">
        <f t="shared" si="163"/>
        <v>4838710.24</v>
      </c>
      <c r="Q404" s="427">
        <f>SUM(E404:P404)</f>
        <v>41338134.800000004</v>
      </c>
    </row>
    <row r="405" spans="1:17" x14ac:dyDescent="0.2">
      <c r="C405" s="240"/>
      <c r="D405" s="479"/>
      <c r="E405" s="471"/>
      <c r="F405" s="471"/>
      <c r="G405" s="471"/>
      <c r="H405" s="471"/>
      <c r="I405" s="482"/>
      <c r="J405" s="482"/>
      <c r="K405" s="471"/>
      <c r="L405" s="471"/>
      <c r="M405" s="471"/>
      <c r="N405" s="471"/>
      <c r="O405" s="471"/>
      <c r="P405" s="471"/>
      <c r="Q405" s="471"/>
    </row>
    <row r="406" spans="1:17" x14ac:dyDescent="0.2">
      <c r="A406" s="259">
        <f>A404+1</f>
        <v>9</v>
      </c>
      <c r="C406" s="240" t="s">
        <v>570</v>
      </c>
      <c r="D406" s="782">
        <f>EGC</f>
        <v>2.2090999999999998</v>
      </c>
      <c r="E406" s="427">
        <f t="shared" ref="E406:P406" si="164">ROUND(E401*$D$406,2)</f>
        <v>2942315.97</v>
      </c>
      <c r="F406" s="427">
        <f t="shared" si="164"/>
        <v>2852283.44</v>
      </c>
      <c r="G406" s="427">
        <f t="shared" si="164"/>
        <v>2139299.0699999998</v>
      </c>
      <c r="H406" s="427">
        <f t="shared" si="164"/>
        <v>1220645.72</v>
      </c>
      <c r="I406" s="427">
        <f t="shared" si="164"/>
        <v>573872.05000000005</v>
      </c>
      <c r="J406" s="427">
        <f t="shared" si="164"/>
        <v>273732.45</v>
      </c>
      <c r="K406" s="427">
        <f t="shared" si="164"/>
        <v>196455.26</v>
      </c>
      <c r="L406" s="427">
        <f t="shared" si="164"/>
        <v>189851.6</v>
      </c>
      <c r="M406" s="427">
        <f t="shared" si="164"/>
        <v>196439.58</v>
      </c>
      <c r="N406" s="427">
        <f t="shared" si="164"/>
        <v>313215.7</v>
      </c>
      <c r="O406" s="427">
        <f t="shared" si="164"/>
        <v>902511.02</v>
      </c>
      <c r="P406" s="427">
        <f t="shared" si="164"/>
        <v>2002012.78</v>
      </c>
      <c r="Q406" s="427">
        <f>SUM(E406:P406)</f>
        <v>13802634.639999999</v>
      </c>
    </row>
    <row r="407" spans="1:17" x14ac:dyDescent="0.2">
      <c r="C407" s="431"/>
      <c r="D407" s="474"/>
      <c r="E407" s="715"/>
      <c r="F407" s="715"/>
      <c r="G407" s="715"/>
      <c r="H407" s="715"/>
      <c r="I407" s="715"/>
      <c r="J407" s="715"/>
      <c r="K407" s="715"/>
      <c r="L407" s="715"/>
      <c r="M407" s="715"/>
      <c r="N407" s="715"/>
      <c r="O407" s="715"/>
      <c r="P407" s="715"/>
      <c r="Q407" s="715"/>
    </row>
    <row r="408" spans="1:17" x14ac:dyDescent="0.2">
      <c r="A408" s="713">
        <f>A406+1</f>
        <v>10</v>
      </c>
      <c r="B408" s="447"/>
      <c r="C408" s="449" t="s">
        <v>206</v>
      </c>
      <c r="D408" s="716"/>
      <c r="E408" s="450">
        <f t="shared" ref="E408:P408" si="165">E404+E406</f>
        <v>9316082.6099999994</v>
      </c>
      <c r="F408" s="450">
        <f t="shared" si="165"/>
        <v>9082572.5099999998</v>
      </c>
      <c r="G408" s="450">
        <f t="shared" si="165"/>
        <v>7211152.5299999993</v>
      </c>
      <c r="H408" s="450">
        <f t="shared" si="165"/>
        <v>4798156.32</v>
      </c>
      <c r="I408" s="450">
        <f t="shared" si="165"/>
        <v>3091810.7199999997</v>
      </c>
      <c r="J408" s="450">
        <f t="shared" si="165"/>
        <v>2288412.58</v>
      </c>
      <c r="K408" s="450">
        <f t="shared" si="165"/>
        <v>2071778.07</v>
      </c>
      <c r="L408" s="450">
        <f t="shared" si="165"/>
        <v>2060482.75</v>
      </c>
      <c r="M408" s="450">
        <f t="shared" si="165"/>
        <v>2067576.8800000001</v>
      </c>
      <c r="N408" s="450">
        <f t="shared" si="165"/>
        <v>2373884.15</v>
      </c>
      <c r="O408" s="450">
        <f t="shared" si="165"/>
        <v>3938137.3000000003</v>
      </c>
      <c r="P408" s="450">
        <f t="shared" si="165"/>
        <v>6840723.0200000005</v>
      </c>
      <c r="Q408" s="450">
        <f>SUM(E408:P408)</f>
        <v>55140769.439999998</v>
      </c>
    </row>
    <row r="409" spans="1:17" x14ac:dyDescent="0.2">
      <c r="C409" s="240"/>
      <c r="D409" s="474"/>
      <c r="E409" s="471"/>
      <c r="F409" s="471"/>
      <c r="G409" s="471"/>
      <c r="H409" s="471"/>
      <c r="I409" s="471"/>
      <c r="J409" s="471"/>
      <c r="K409" s="471"/>
      <c r="L409" s="471"/>
      <c r="M409" s="471"/>
      <c r="N409" s="471"/>
      <c r="O409" s="471"/>
      <c r="P409" s="471"/>
      <c r="Q409" s="471"/>
    </row>
    <row r="410" spans="1:17" x14ac:dyDescent="0.2">
      <c r="A410" s="259">
        <f>A408+1</f>
        <v>11</v>
      </c>
      <c r="C410" s="240" t="s">
        <v>196</v>
      </c>
      <c r="D410" s="487"/>
      <c r="E410" s="427"/>
      <c r="F410" s="427"/>
      <c r="G410" s="427"/>
      <c r="H410" s="427"/>
      <c r="I410" s="427"/>
      <c r="J410" s="427"/>
      <c r="K410" s="427"/>
      <c r="L410" s="427"/>
      <c r="M410" s="427"/>
      <c r="N410" s="427"/>
      <c r="O410" s="427"/>
      <c r="P410" s="427"/>
      <c r="Q410" s="427"/>
    </row>
    <row r="411" spans="1:17" x14ac:dyDescent="0.2">
      <c r="A411" s="259">
        <f>A410+1</f>
        <v>12</v>
      </c>
      <c r="C411" s="219" t="s">
        <v>213</v>
      </c>
      <c r="D411" s="782">
        <f>Input!X19</f>
        <v>0.69</v>
      </c>
      <c r="E411" s="427">
        <f t="shared" ref="E411:P411" si="166">ROUND(E397*$D$411,2)</f>
        <v>68509.41</v>
      </c>
      <c r="F411" s="427">
        <f t="shared" si="166"/>
        <v>68636.37</v>
      </c>
      <c r="G411" s="427">
        <f t="shared" si="166"/>
        <v>68683.98</v>
      </c>
      <c r="H411" s="427">
        <f t="shared" si="166"/>
        <v>68670.179999999993</v>
      </c>
      <c r="I411" s="427">
        <f t="shared" si="166"/>
        <v>68337.600000000006</v>
      </c>
      <c r="J411" s="427">
        <f t="shared" si="166"/>
        <v>67684.86</v>
      </c>
      <c r="K411" s="427">
        <f t="shared" si="166"/>
        <v>67094.91</v>
      </c>
      <c r="L411" s="427">
        <f t="shared" si="166"/>
        <v>67355.73</v>
      </c>
      <c r="M411" s="427">
        <f t="shared" si="166"/>
        <v>66915.509999999995</v>
      </c>
      <c r="N411" s="427">
        <f t="shared" si="166"/>
        <v>66898.95</v>
      </c>
      <c r="O411" s="427">
        <f t="shared" si="166"/>
        <v>67613.789999999994</v>
      </c>
      <c r="P411" s="427">
        <f t="shared" si="166"/>
        <v>68258.25</v>
      </c>
      <c r="Q411" s="427">
        <f>SUM(E411:P411)</f>
        <v>814659.54</v>
      </c>
    </row>
    <row r="412" spans="1:17" x14ac:dyDescent="0.2">
      <c r="A412" s="259">
        <f>A411+1</f>
        <v>13</v>
      </c>
      <c r="C412" s="240" t="s">
        <v>571</v>
      </c>
      <c r="D412" s="782">
        <f>Input!AA19</f>
        <v>2.5999999999999999E-2</v>
      </c>
      <c r="E412" s="286">
        <f t="shared" ref="E412:P412" si="167">ROUND(E401*$D$412,2)</f>
        <v>34629.58</v>
      </c>
      <c r="F412" s="286">
        <f t="shared" si="167"/>
        <v>33569.949999999997</v>
      </c>
      <c r="G412" s="286">
        <f t="shared" si="167"/>
        <v>25178.48</v>
      </c>
      <c r="H412" s="286">
        <f t="shared" si="167"/>
        <v>14366.39</v>
      </c>
      <c r="I412" s="286">
        <f t="shared" si="167"/>
        <v>6754.19</v>
      </c>
      <c r="J412" s="286">
        <f t="shared" si="167"/>
        <v>3221.69</v>
      </c>
      <c r="K412" s="286">
        <f t="shared" si="167"/>
        <v>2312.1799999999998</v>
      </c>
      <c r="L412" s="286">
        <f t="shared" si="167"/>
        <v>2234.46</v>
      </c>
      <c r="M412" s="286">
        <f t="shared" si="167"/>
        <v>2312</v>
      </c>
      <c r="N412" s="286">
        <f t="shared" si="167"/>
        <v>3686.39</v>
      </c>
      <c r="O412" s="286">
        <f t="shared" si="167"/>
        <v>10622.1</v>
      </c>
      <c r="P412" s="286">
        <f t="shared" si="167"/>
        <v>23562.69</v>
      </c>
      <c r="Q412" s="429">
        <f>SUM(E412:P412)</f>
        <v>162450.1</v>
      </c>
    </row>
    <row r="413" spans="1:17" x14ac:dyDescent="0.2">
      <c r="A413" s="259">
        <f>A412+1</f>
        <v>14</v>
      </c>
      <c r="C413" s="222" t="s">
        <v>572</v>
      </c>
      <c r="D413" s="782">
        <f>Input!Y19</f>
        <v>5.9700000000000003E-2</v>
      </c>
      <c r="E413" s="431">
        <f t="shared" ref="E413:P413" si="168">ROUND(E401*$D$413,2)</f>
        <v>79514.850000000006</v>
      </c>
      <c r="F413" s="431">
        <f t="shared" si="168"/>
        <v>77081.759999999995</v>
      </c>
      <c r="G413" s="431">
        <f t="shared" si="168"/>
        <v>57813.66</v>
      </c>
      <c r="H413" s="431">
        <f t="shared" si="168"/>
        <v>32987.440000000002</v>
      </c>
      <c r="I413" s="431">
        <f t="shared" si="168"/>
        <v>15508.65</v>
      </c>
      <c r="J413" s="431">
        <f t="shared" si="168"/>
        <v>7397.5</v>
      </c>
      <c r="K413" s="431">
        <f t="shared" si="168"/>
        <v>5309.12</v>
      </c>
      <c r="L413" s="431">
        <f t="shared" si="168"/>
        <v>5130.66</v>
      </c>
      <c r="M413" s="431">
        <f t="shared" si="168"/>
        <v>5308.7</v>
      </c>
      <c r="N413" s="431">
        <f t="shared" si="168"/>
        <v>8464.52</v>
      </c>
      <c r="O413" s="431">
        <f t="shared" si="168"/>
        <v>24389.98</v>
      </c>
      <c r="P413" s="431">
        <f t="shared" si="168"/>
        <v>54103.55</v>
      </c>
      <c r="Q413" s="431">
        <f>SUM(E413:P413)</f>
        <v>373010.38999999996</v>
      </c>
    </row>
    <row r="414" spans="1:17" x14ac:dyDescent="0.2">
      <c r="A414" s="259">
        <f>A413+1</f>
        <v>15</v>
      </c>
      <c r="C414" s="219" t="s">
        <v>216</v>
      </c>
      <c r="D414" s="471"/>
      <c r="E414" s="427">
        <f t="shared" ref="E414:P414" si="169">SUM(E411:E413)</f>
        <v>182653.84000000003</v>
      </c>
      <c r="F414" s="427">
        <f t="shared" si="169"/>
        <v>179288.08</v>
      </c>
      <c r="G414" s="427">
        <f t="shared" si="169"/>
        <v>151676.12</v>
      </c>
      <c r="H414" s="427">
        <f t="shared" si="169"/>
        <v>116024.01</v>
      </c>
      <c r="I414" s="427">
        <f t="shared" si="169"/>
        <v>90600.44</v>
      </c>
      <c r="J414" s="427">
        <f t="shared" si="169"/>
        <v>78304.05</v>
      </c>
      <c r="K414" s="427">
        <f t="shared" si="169"/>
        <v>74716.209999999992</v>
      </c>
      <c r="L414" s="427">
        <f t="shared" si="169"/>
        <v>74720.850000000006</v>
      </c>
      <c r="M414" s="427">
        <f t="shared" si="169"/>
        <v>74536.209999999992</v>
      </c>
      <c r="N414" s="427">
        <f t="shared" si="169"/>
        <v>79049.86</v>
      </c>
      <c r="O414" s="427">
        <f t="shared" si="169"/>
        <v>102625.87</v>
      </c>
      <c r="P414" s="427">
        <f t="shared" si="169"/>
        <v>145924.49</v>
      </c>
      <c r="Q414" s="427">
        <f>SUM(E414:P414)</f>
        <v>1350120.03</v>
      </c>
    </row>
    <row r="415" spans="1:17" x14ac:dyDescent="0.2">
      <c r="D415" s="471"/>
      <c r="E415" s="471"/>
      <c r="F415" s="482"/>
      <c r="G415" s="482"/>
      <c r="H415" s="482"/>
      <c r="I415" s="482"/>
      <c r="J415" s="482"/>
      <c r="K415" s="482"/>
      <c r="L415" s="471"/>
      <c r="M415" s="471"/>
      <c r="N415" s="471"/>
      <c r="O415" s="471"/>
      <c r="P415" s="471"/>
      <c r="Q415" s="471"/>
    </row>
    <row r="416" spans="1:17" ht="10.8" thickBot="1" x14ac:dyDescent="0.25">
      <c r="A416" s="717">
        <f>A414+1</f>
        <v>16</v>
      </c>
      <c r="B416" s="489"/>
      <c r="C416" s="718" t="s">
        <v>205</v>
      </c>
      <c r="D416" s="719"/>
      <c r="E416" s="492">
        <f t="shared" ref="E416:P416" si="170">E408+E414</f>
        <v>9498736.4499999993</v>
      </c>
      <c r="F416" s="492">
        <f t="shared" si="170"/>
        <v>9261860.5899999999</v>
      </c>
      <c r="G416" s="492">
        <f t="shared" si="170"/>
        <v>7362828.6499999994</v>
      </c>
      <c r="H416" s="492">
        <f t="shared" si="170"/>
        <v>4914180.33</v>
      </c>
      <c r="I416" s="492">
        <f t="shared" si="170"/>
        <v>3182411.1599999997</v>
      </c>
      <c r="J416" s="492">
        <f t="shared" si="170"/>
        <v>2366716.63</v>
      </c>
      <c r="K416" s="492">
        <f t="shared" si="170"/>
        <v>2146494.2800000003</v>
      </c>
      <c r="L416" s="492">
        <f t="shared" si="170"/>
        <v>2135203.6</v>
      </c>
      <c r="M416" s="492">
        <f t="shared" si="170"/>
        <v>2142113.0900000003</v>
      </c>
      <c r="N416" s="492">
        <f t="shared" si="170"/>
        <v>2452934.0099999998</v>
      </c>
      <c r="O416" s="492">
        <f t="shared" si="170"/>
        <v>4040763.1700000004</v>
      </c>
      <c r="P416" s="492">
        <f t="shared" si="170"/>
        <v>6986647.5100000007</v>
      </c>
      <c r="Q416" s="492">
        <f>SUM(E416:P416)</f>
        <v>56490889.469999999</v>
      </c>
    </row>
    <row r="417" spans="1:17" ht="10.8" thickTop="1" x14ac:dyDescent="0.2">
      <c r="A417" s="615"/>
      <c r="B417" s="301"/>
      <c r="C417" s="785"/>
      <c r="D417" s="786"/>
      <c r="E417" s="486"/>
      <c r="F417" s="486"/>
      <c r="G417" s="486"/>
      <c r="H417" s="486"/>
      <c r="I417" s="486"/>
      <c r="J417" s="486"/>
      <c r="K417" s="486"/>
      <c r="L417" s="486"/>
      <c r="M417" s="486"/>
      <c r="N417" s="486"/>
      <c r="O417" s="486"/>
      <c r="P417" s="486"/>
      <c r="Q417" s="486"/>
    </row>
    <row r="418" spans="1:17" x14ac:dyDescent="0.2">
      <c r="E418" s="471"/>
      <c r="F418" s="471"/>
      <c r="G418" s="471"/>
      <c r="H418" s="471"/>
      <c r="I418" s="471"/>
      <c r="J418" s="471"/>
      <c r="K418" s="471"/>
      <c r="L418" s="471"/>
      <c r="M418" s="471"/>
      <c r="N418" s="471"/>
      <c r="O418" s="471"/>
      <c r="P418" s="471"/>
      <c r="Q418" s="471"/>
    </row>
    <row r="419" spans="1:17" x14ac:dyDescent="0.2">
      <c r="A419" s="259">
        <f>A416+1</f>
        <v>17</v>
      </c>
      <c r="B419" s="219" t="str">
        <f>B71</f>
        <v>G1C</v>
      </c>
      <c r="C419" s="219" t="str">
        <f>C71</f>
        <v>LG&amp;E Commercial</v>
      </c>
    </row>
    <row r="421" spans="1:17" x14ac:dyDescent="0.2">
      <c r="A421" s="259">
        <f>A419+1</f>
        <v>18</v>
      </c>
      <c r="C421" s="223" t="s">
        <v>111</v>
      </c>
    </row>
    <row r="422" spans="1:17" x14ac:dyDescent="0.2">
      <c r="F422" s="288"/>
      <c r="G422" s="469"/>
      <c r="H422" s="288"/>
      <c r="I422" s="293"/>
      <c r="J422" s="288"/>
      <c r="K422" s="288"/>
    </row>
    <row r="423" spans="1:17" x14ac:dyDescent="0.2">
      <c r="A423" s="259">
        <f>A421+1</f>
        <v>19</v>
      </c>
      <c r="C423" s="219" t="s">
        <v>202</v>
      </c>
      <c r="E423" s="472">
        <f>B!D22</f>
        <v>3</v>
      </c>
      <c r="F423" s="472">
        <f>B!E22</f>
        <v>3</v>
      </c>
      <c r="G423" s="472">
        <f>B!F22</f>
        <v>4</v>
      </c>
      <c r="H423" s="472">
        <f>B!G22</f>
        <v>4</v>
      </c>
      <c r="I423" s="472">
        <f>B!H22</f>
        <v>4</v>
      </c>
      <c r="J423" s="472">
        <f>B!I22</f>
        <v>4</v>
      </c>
      <c r="K423" s="472">
        <f>B!J22</f>
        <v>4</v>
      </c>
      <c r="L423" s="472">
        <f>B!K22</f>
        <v>3</v>
      </c>
      <c r="M423" s="472">
        <f>B!L22</f>
        <v>3</v>
      </c>
      <c r="N423" s="472">
        <f>B!M22</f>
        <v>3</v>
      </c>
      <c r="O423" s="472">
        <f>B!N22</f>
        <v>3</v>
      </c>
      <c r="P423" s="472">
        <f>B!O22</f>
        <v>3</v>
      </c>
      <c r="Q423" s="505">
        <f>SUM(E423:P423)</f>
        <v>41</v>
      </c>
    </row>
    <row r="424" spans="1:17" x14ac:dyDescent="0.2">
      <c r="A424" s="259">
        <f>A423+1</f>
        <v>20</v>
      </c>
      <c r="C424" s="219" t="s">
        <v>210</v>
      </c>
      <c r="D424" s="781">
        <f>Input!U20</f>
        <v>56.92</v>
      </c>
      <c r="E424" s="427">
        <f t="shared" ref="E424:P424" si="171">ROUND(E423*$D$424,2)</f>
        <v>170.76</v>
      </c>
      <c r="F424" s="427">
        <f t="shared" si="171"/>
        <v>170.76</v>
      </c>
      <c r="G424" s="427">
        <f t="shared" si="171"/>
        <v>227.68</v>
      </c>
      <c r="H424" s="427">
        <f t="shared" si="171"/>
        <v>227.68</v>
      </c>
      <c r="I424" s="427">
        <f t="shared" si="171"/>
        <v>227.68</v>
      </c>
      <c r="J424" s="427">
        <f t="shared" si="171"/>
        <v>227.68</v>
      </c>
      <c r="K424" s="427">
        <f t="shared" si="171"/>
        <v>227.68</v>
      </c>
      <c r="L424" s="427">
        <f t="shared" si="171"/>
        <v>170.76</v>
      </c>
      <c r="M424" s="427">
        <f t="shared" si="171"/>
        <v>170.76</v>
      </c>
      <c r="N424" s="427">
        <f t="shared" si="171"/>
        <v>170.76</v>
      </c>
      <c r="O424" s="427">
        <f t="shared" si="171"/>
        <v>170.76</v>
      </c>
      <c r="P424" s="427">
        <f t="shared" si="171"/>
        <v>170.76</v>
      </c>
      <c r="Q424" s="427">
        <f>SUM(E424:P424)</f>
        <v>2333.7200000000003</v>
      </c>
    </row>
    <row r="425" spans="1:17" x14ac:dyDescent="0.2">
      <c r="D425" s="286"/>
      <c r="F425" s="288"/>
      <c r="G425" s="469"/>
      <c r="H425" s="288"/>
      <c r="I425" s="293"/>
      <c r="J425" s="288"/>
      <c r="K425" s="288"/>
    </row>
    <row r="426" spans="1:17" x14ac:dyDescent="0.2">
      <c r="A426" s="259">
        <f>A424+1</f>
        <v>21</v>
      </c>
      <c r="C426" s="219" t="s">
        <v>209</v>
      </c>
      <c r="D426" s="512"/>
      <c r="E426" s="476">
        <f>'C'!D22</f>
        <v>307.2</v>
      </c>
      <c r="F426" s="476">
        <f>'C'!E22</f>
        <v>374.8</v>
      </c>
      <c r="G426" s="476">
        <f>'C'!F22</f>
        <v>373.1</v>
      </c>
      <c r="H426" s="476">
        <f>'C'!G22</f>
        <v>173.3</v>
      </c>
      <c r="I426" s="476">
        <f>'C'!H22</f>
        <v>68.900000000000006</v>
      </c>
      <c r="J426" s="476">
        <f>'C'!I22</f>
        <v>18</v>
      </c>
      <c r="K426" s="476">
        <f>'C'!J22</f>
        <v>29.1</v>
      </c>
      <c r="L426" s="476">
        <f>'C'!K22</f>
        <v>16.7</v>
      </c>
      <c r="M426" s="476">
        <f>'C'!L22</f>
        <v>8.8000000000000007</v>
      </c>
      <c r="N426" s="476">
        <f>'C'!M22</f>
        <v>22.2</v>
      </c>
      <c r="O426" s="476">
        <f>'C'!N22</f>
        <v>83.3</v>
      </c>
      <c r="P426" s="476">
        <f>'C'!O22</f>
        <v>222.4</v>
      </c>
      <c r="Q426" s="506">
        <f>SUM(E426:P426)</f>
        <v>1697.8</v>
      </c>
    </row>
    <row r="427" spans="1:17" x14ac:dyDescent="0.2">
      <c r="A427" s="259">
        <f>A426+1</f>
        <v>22</v>
      </c>
      <c r="C427" s="240" t="s">
        <v>212</v>
      </c>
      <c r="D427" s="782">
        <f>Input!P20</f>
        <v>2.1558000000000002</v>
      </c>
      <c r="E427" s="427">
        <f t="shared" ref="E427:P427" si="172">ROUND(E426*$D$427,2)</f>
        <v>662.26</v>
      </c>
      <c r="F427" s="427">
        <f t="shared" si="172"/>
        <v>807.99</v>
      </c>
      <c r="G427" s="427">
        <f t="shared" si="172"/>
        <v>804.33</v>
      </c>
      <c r="H427" s="427">
        <f t="shared" si="172"/>
        <v>373.6</v>
      </c>
      <c r="I427" s="427">
        <f t="shared" si="172"/>
        <v>148.53</v>
      </c>
      <c r="J427" s="427">
        <f t="shared" si="172"/>
        <v>38.799999999999997</v>
      </c>
      <c r="K427" s="427">
        <f t="shared" si="172"/>
        <v>62.73</v>
      </c>
      <c r="L427" s="427">
        <f t="shared" si="172"/>
        <v>36</v>
      </c>
      <c r="M427" s="427">
        <f t="shared" si="172"/>
        <v>18.97</v>
      </c>
      <c r="N427" s="427">
        <f t="shared" si="172"/>
        <v>47.86</v>
      </c>
      <c r="O427" s="427">
        <f t="shared" si="172"/>
        <v>179.58</v>
      </c>
      <c r="P427" s="427">
        <f t="shared" si="172"/>
        <v>479.45</v>
      </c>
      <c r="Q427" s="427">
        <f>SUM(E427:P427)</f>
        <v>3660.1</v>
      </c>
    </row>
    <row r="428" spans="1:17" x14ac:dyDescent="0.2">
      <c r="D428" s="286"/>
      <c r="Q428" s="517"/>
    </row>
    <row r="429" spans="1:17" x14ac:dyDescent="0.2">
      <c r="A429" s="615">
        <f>A427+1</f>
        <v>23</v>
      </c>
      <c r="B429" s="301"/>
      <c r="C429" s="301" t="s">
        <v>204</v>
      </c>
      <c r="D429" s="286"/>
      <c r="E429" s="427">
        <f t="shared" ref="E429:P429" si="173">E424+E427</f>
        <v>833.02</v>
      </c>
      <c r="F429" s="427">
        <f t="shared" si="173"/>
        <v>978.75</v>
      </c>
      <c r="G429" s="427">
        <f t="shared" si="173"/>
        <v>1032.01</v>
      </c>
      <c r="H429" s="427">
        <f t="shared" si="173"/>
        <v>601.28</v>
      </c>
      <c r="I429" s="427">
        <f t="shared" si="173"/>
        <v>376.21000000000004</v>
      </c>
      <c r="J429" s="427">
        <f t="shared" si="173"/>
        <v>266.48</v>
      </c>
      <c r="K429" s="427">
        <f t="shared" si="173"/>
        <v>290.41000000000003</v>
      </c>
      <c r="L429" s="427">
        <f t="shared" si="173"/>
        <v>206.76</v>
      </c>
      <c r="M429" s="427">
        <f t="shared" si="173"/>
        <v>189.73</v>
      </c>
      <c r="N429" s="427">
        <f t="shared" si="173"/>
        <v>218.62</v>
      </c>
      <c r="O429" s="427">
        <f t="shared" si="173"/>
        <v>350.34000000000003</v>
      </c>
      <c r="P429" s="427">
        <f t="shared" si="173"/>
        <v>650.21</v>
      </c>
      <c r="Q429" s="427">
        <f>SUM(E429:P429)</f>
        <v>5993.82</v>
      </c>
    </row>
    <row r="430" spans="1:17" x14ac:dyDescent="0.2">
      <c r="D430" s="286"/>
      <c r="Q430" s="412"/>
    </row>
    <row r="431" spans="1:17" x14ac:dyDescent="0.2">
      <c r="A431" s="259">
        <f>A429+1</f>
        <v>24</v>
      </c>
      <c r="C431" s="219" t="s">
        <v>208</v>
      </c>
      <c r="D431" s="782">
        <f>EGC</f>
        <v>2.2090999999999998</v>
      </c>
      <c r="E431" s="427">
        <f t="shared" ref="E431:P431" si="174">ROUND(E426*$D$431,2)</f>
        <v>678.64</v>
      </c>
      <c r="F431" s="427">
        <f t="shared" si="174"/>
        <v>827.97</v>
      </c>
      <c r="G431" s="427">
        <f t="shared" si="174"/>
        <v>824.22</v>
      </c>
      <c r="H431" s="427">
        <f t="shared" si="174"/>
        <v>382.84</v>
      </c>
      <c r="I431" s="427">
        <f t="shared" si="174"/>
        <v>152.21</v>
      </c>
      <c r="J431" s="427">
        <f t="shared" si="174"/>
        <v>39.76</v>
      </c>
      <c r="K431" s="427">
        <f t="shared" si="174"/>
        <v>64.28</v>
      </c>
      <c r="L431" s="427">
        <f t="shared" si="174"/>
        <v>36.89</v>
      </c>
      <c r="M431" s="427">
        <f t="shared" si="174"/>
        <v>19.440000000000001</v>
      </c>
      <c r="N431" s="427">
        <f t="shared" si="174"/>
        <v>49.04</v>
      </c>
      <c r="O431" s="427">
        <f t="shared" si="174"/>
        <v>184.02</v>
      </c>
      <c r="P431" s="427">
        <f t="shared" si="174"/>
        <v>491.3</v>
      </c>
      <c r="Q431" s="427">
        <f>SUM(E431:P431)</f>
        <v>3750.6100000000006</v>
      </c>
    </row>
    <row r="433" spans="1:17" ht="10.8" thickBot="1" x14ac:dyDescent="0.25">
      <c r="A433" s="717">
        <f>A431+1</f>
        <v>25</v>
      </c>
      <c r="B433" s="489"/>
      <c r="C433" s="718" t="s">
        <v>205</v>
      </c>
      <c r="D433" s="719"/>
      <c r="E433" s="492">
        <f t="shared" ref="E433:P433" si="175">E429+E431</f>
        <v>1511.6599999999999</v>
      </c>
      <c r="F433" s="492">
        <f t="shared" si="175"/>
        <v>1806.72</v>
      </c>
      <c r="G433" s="492">
        <f t="shared" si="175"/>
        <v>1856.23</v>
      </c>
      <c r="H433" s="492">
        <f t="shared" si="175"/>
        <v>984.11999999999989</v>
      </c>
      <c r="I433" s="492">
        <f t="shared" si="175"/>
        <v>528.42000000000007</v>
      </c>
      <c r="J433" s="492">
        <f t="shared" si="175"/>
        <v>306.24</v>
      </c>
      <c r="K433" s="492">
        <f t="shared" si="175"/>
        <v>354.69000000000005</v>
      </c>
      <c r="L433" s="492">
        <f t="shared" si="175"/>
        <v>243.64999999999998</v>
      </c>
      <c r="M433" s="492">
        <f t="shared" si="175"/>
        <v>209.17</v>
      </c>
      <c r="N433" s="492">
        <f t="shared" si="175"/>
        <v>267.66000000000003</v>
      </c>
      <c r="O433" s="492">
        <f t="shared" si="175"/>
        <v>534.36</v>
      </c>
      <c r="P433" s="492">
        <f t="shared" si="175"/>
        <v>1141.51</v>
      </c>
      <c r="Q433" s="492">
        <f>SUM(E433:P433)</f>
        <v>9744.43</v>
      </c>
    </row>
    <row r="434" spans="1:17" ht="10.8" thickTop="1" x14ac:dyDescent="0.2">
      <c r="A434" s="615"/>
      <c r="B434" s="301"/>
      <c r="C434" s="301"/>
      <c r="D434" s="300"/>
      <c r="E434" s="493"/>
      <c r="F434" s="493"/>
      <c r="G434" s="493"/>
      <c r="H434" s="493"/>
      <c r="I434" s="493"/>
      <c r="J434" s="493"/>
      <c r="K434" s="493"/>
      <c r="L434" s="493"/>
      <c r="M434" s="493"/>
      <c r="N434" s="493"/>
      <c r="O434" s="493"/>
      <c r="P434" s="493"/>
      <c r="Q434" s="451"/>
    </row>
    <row r="435" spans="1:17" x14ac:dyDescent="0.2">
      <c r="A435" s="615"/>
      <c r="B435" s="301"/>
      <c r="C435" s="301"/>
      <c r="D435" s="300"/>
      <c r="E435" s="493"/>
      <c r="F435" s="493"/>
      <c r="G435" s="493"/>
      <c r="H435" s="493"/>
      <c r="I435" s="493"/>
      <c r="J435" s="493"/>
      <c r="K435" s="493"/>
      <c r="L435" s="493"/>
      <c r="M435" s="493"/>
      <c r="N435" s="493"/>
      <c r="O435" s="493"/>
      <c r="P435" s="493"/>
      <c r="Q435" s="451"/>
    </row>
    <row r="436" spans="1:17" x14ac:dyDescent="0.2">
      <c r="A436" s="622" t="str">
        <f>$A$265</f>
        <v>[1] Reflects Normalized Volumes.</v>
      </c>
    </row>
    <row r="437" spans="1:17" x14ac:dyDescent="0.2">
      <c r="A437" s="622" t="str">
        <f>"[2] Reflects Gas Cost Adjustment Rate"&amp;CONCATENATE(" as of ",EGCDATE)&amp;"."</f>
        <v>[2] Reflects Gas Cost Adjustment Rate as of March 1, 2016.</v>
      </c>
      <c r="B437" s="222"/>
      <c r="C437" s="222"/>
      <c r="D437" s="286"/>
      <c r="E437" s="222"/>
      <c r="F437" s="288"/>
      <c r="G437" s="469"/>
      <c r="H437" s="288"/>
      <c r="I437" s="293"/>
      <c r="J437" s="288"/>
      <c r="K437" s="288"/>
      <c r="L437" s="288"/>
      <c r="M437" s="288"/>
      <c r="N437" s="288"/>
      <c r="O437" s="288"/>
      <c r="P437" s="288"/>
      <c r="Q437" s="222"/>
    </row>
    <row r="438" spans="1:17" s="222" customFormat="1" x14ac:dyDescent="0.2">
      <c r="A438" s="995" t="str">
        <f>CONAME</f>
        <v>Columbia Gas of Kentucky, Inc.</v>
      </c>
      <c r="B438" s="995"/>
      <c r="C438" s="995"/>
      <c r="D438" s="995"/>
      <c r="E438" s="995"/>
      <c r="F438" s="995"/>
      <c r="G438" s="995"/>
      <c r="H438" s="995"/>
      <c r="I438" s="995"/>
      <c r="J438" s="995"/>
      <c r="K438" s="995"/>
      <c r="L438" s="995"/>
      <c r="M438" s="995"/>
      <c r="N438" s="995"/>
      <c r="O438" s="995"/>
      <c r="P438" s="995"/>
      <c r="Q438" s="995"/>
    </row>
    <row r="439" spans="1:17" s="222" customFormat="1" x14ac:dyDescent="0.2">
      <c r="A439" s="978" t="str">
        <f>case</f>
        <v>Case No. 2016-00162</v>
      </c>
      <c r="B439" s="978"/>
      <c r="C439" s="978"/>
      <c r="D439" s="978"/>
      <c r="E439" s="978"/>
      <c r="F439" s="978"/>
      <c r="G439" s="978"/>
      <c r="H439" s="978"/>
      <c r="I439" s="978"/>
      <c r="J439" s="978"/>
      <c r="K439" s="978"/>
      <c r="L439" s="978"/>
      <c r="M439" s="978"/>
      <c r="N439" s="978"/>
      <c r="O439" s="978"/>
      <c r="P439" s="978"/>
      <c r="Q439" s="978"/>
    </row>
    <row r="440" spans="1:17" s="222" customFormat="1" x14ac:dyDescent="0.2">
      <c r="A440" s="996" t="s">
        <v>200</v>
      </c>
      <c r="B440" s="996"/>
      <c r="C440" s="996"/>
      <c r="D440" s="996"/>
      <c r="E440" s="996"/>
      <c r="F440" s="996"/>
      <c r="G440" s="996"/>
      <c r="H440" s="996"/>
      <c r="I440" s="996"/>
      <c r="J440" s="996"/>
      <c r="K440" s="996"/>
      <c r="L440" s="996"/>
      <c r="M440" s="996"/>
      <c r="N440" s="996"/>
      <c r="O440" s="996"/>
      <c r="P440" s="996"/>
      <c r="Q440" s="996"/>
    </row>
    <row r="441" spans="1:17" s="222" customFormat="1" x14ac:dyDescent="0.2">
      <c r="A441" s="995" t="str">
        <f>TYDESC</f>
        <v>For the 12 Months Ended December 31, 2017</v>
      </c>
      <c r="B441" s="995"/>
      <c r="C441" s="995"/>
      <c r="D441" s="995"/>
      <c r="E441" s="995"/>
      <c r="F441" s="995"/>
      <c r="G441" s="995"/>
      <c r="H441" s="995"/>
      <c r="I441" s="995"/>
      <c r="J441" s="995"/>
      <c r="K441" s="995"/>
      <c r="L441" s="995"/>
      <c r="M441" s="995"/>
      <c r="N441" s="995"/>
      <c r="O441" s="995"/>
      <c r="P441" s="995"/>
      <c r="Q441" s="995"/>
    </row>
    <row r="442" spans="1:17" s="222" customFormat="1" x14ac:dyDescent="0.2">
      <c r="A442" s="997" t="s">
        <v>39</v>
      </c>
      <c r="B442" s="997"/>
      <c r="C442" s="997"/>
      <c r="D442" s="997"/>
      <c r="E442" s="997"/>
      <c r="F442" s="997"/>
      <c r="G442" s="997"/>
      <c r="H442" s="997"/>
      <c r="I442" s="997"/>
      <c r="J442" s="997"/>
      <c r="K442" s="997"/>
      <c r="L442" s="997"/>
      <c r="M442" s="997"/>
      <c r="N442" s="997"/>
      <c r="O442" s="997"/>
      <c r="P442" s="997"/>
      <c r="Q442" s="997"/>
    </row>
    <row r="443" spans="1:17" s="222" customFormat="1" x14ac:dyDescent="0.2">
      <c r="A443" s="711" t="str">
        <f>$A$52</f>
        <v>Data: __ Base Period _X_ Forecasted Period</v>
      </c>
      <c r="B443" s="262"/>
      <c r="D443" s="286"/>
      <c r="F443" s="288"/>
      <c r="G443" s="469"/>
      <c r="H443" s="288"/>
      <c r="I443" s="293"/>
      <c r="J443" s="288"/>
      <c r="K443" s="288"/>
      <c r="L443" s="288"/>
      <c r="M443" s="288"/>
      <c r="N443" s="288"/>
      <c r="O443" s="288"/>
      <c r="P443" s="288"/>
    </row>
    <row r="444" spans="1:17" s="222" customFormat="1" x14ac:dyDescent="0.2">
      <c r="A444" s="711" t="str">
        <f>$A$53</f>
        <v>Type of Filing: X Original _ Update _ Revised</v>
      </c>
      <c r="B444" s="262"/>
      <c r="D444" s="286"/>
      <c r="F444" s="288"/>
      <c r="G444" s="469"/>
      <c r="H444" s="288"/>
      <c r="I444" s="293"/>
      <c r="J444" s="288"/>
      <c r="K444" s="288"/>
      <c r="L444" s="288"/>
      <c r="M444" s="288"/>
      <c r="N444" s="288"/>
      <c r="O444" s="288"/>
      <c r="P444" s="288"/>
      <c r="Q444" s="720" t="str">
        <f>$Q$53</f>
        <v>Schedule M-2.3</v>
      </c>
    </row>
    <row r="445" spans="1:17" s="222" customFormat="1" x14ac:dyDescent="0.2">
      <c r="A445" s="711" t="str">
        <f>$A$54</f>
        <v>Work Paper Reference No(s):</v>
      </c>
      <c r="B445" s="262"/>
      <c r="D445" s="286"/>
      <c r="F445" s="288"/>
      <c r="G445" s="469"/>
      <c r="H445" s="288"/>
      <c r="I445" s="293"/>
      <c r="J445" s="288"/>
      <c r="K445" s="288"/>
      <c r="L445" s="288"/>
      <c r="M445" s="288"/>
      <c r="N445" s="288"/>
      <c r="O445" s="288"/>
      <c r="P445" s="288"/>
      <c r="Q445" s="720" t="s">
        <v>514</v>
      </c>
    </row>
    <row r="446" spans="1:17" s="222" customFormat="1" x14ac:dyDescent="0.2">
      <c r="A446" s="712" t="str">
        <f>$A$55</f>
        <v>12 Months Forecasted</v>
      </c>
      <c r="B446" s="414"/>
      <c r="D446" s="286"/>
      <c r="F446" s="288"/>
      <c r="G446" s="469"/>
      <c r="H446" s="288"/>
      <c r="I446" s="293"/>
      <c r="J446" s="288"/>
      <c r="K446" s="288"/>
      <c r="L446" s="288"/>
      <c r="M446" s="288"/>
      <c r="N446" s="288"/>
      <c r="O446" s="288"/>
      <c r="P446" s="288"/>
      <c r="Q446" s="720" t="str">
        <f>Witness</f>
        <v>Witness:  M. J. Bell</v>
      </c>
    </row>
    <row r="447" spans="1:17" s="222" customFormat="1" x14ac:dyDescent="0.2">
      <c r="A447" s="998" t="s">
        <v>293</v>
      </c>
      <c r="B447" s="998"/>
      <c r="C447" s="998"/>
      <c r="D447" s="998"/>
      <c r="E447" s="998"/>
      <c r="F447" s="998"/>
      <c r="G447" s="998"/>
      <c r="H447" s="998"/>
      <c r="I447" s="998"/>
      <c r="J447" s="998"/>
      <c r="K447" s="998"/>
      <c r="L447" s="998"/>
      <c r="M447" s="998"/>
      <c r="N447" s="998"/>
      <c r="O447" s="998"/>
      <c r="P447" s="998"/>
      <c r="Q447" s="998"/>
    </row>
    <row r="448" spans="1:17" s="222" customFormat="1" x14ac:dyDescent="0.2">
      <c r="A448" s="225"/>
      <c r="B448" s="302"/>
      <c r="C448" s="302"/>
      <c r="D448" s="304"/>
      <c r="E448" s="302"/>
      <c r="F448" s="495"/>
      <c r="G448" s="496"/>
      <c r="H448" s="495"/>
      <c r="I448" s="497"/>
      <c r="J448" s="495"/>
      <c r="K448" s="495"/>
      <c r="L448" s="495"/>
      <c r="M448" s="495"/>
      <c r="N448" s="495"/>
      <c r="O448" s="495"/>
      <c r="P448" s="495"/>
      <c r="Q448" s="302"/>
    </row>
    <row r="449" spans="1:17" s="222" customFormat="1" x14ac:dyDescent="0.2">
      <c r="A449" s="410" t="s">
        <v>1</v>
      </c>
      <c r="B449" s="410" t="s">
        <v>0</v>
      </c>
      <c r="C449" s="410" t="s">
        <v>41</v>
      </c>
      <c r="D449" s="416" t="s">
        <v>30</v>
      </c>
      <c r="E449" s="410"/>
      <c r="F449" s="722"/>
      <c r="G449" s="725"/>
      <c r="H449" s="722"/>
      <c r="I449" s="726"/>
      <c r="J449" s="722"/>
      <c r="K449" s="722"/>
      <c r="L449" s="722"/>
      <c r="M449" s="722"/>
      <c r="N449" s="722"/>
      <c r="O449" s="722"/>
      <c r="P449" s="722"/>
      <c r="Q449" s="230"/>
    </row>
    <row r="450" spans="1:17" s="222" customFormat="1" x14ac:dyDescent="0.2">
      <c r="A450" s="281" t="s">
        <v>3</v>
      </c>
      <c r="B450" s="281" t="s">
        <v>40</v>
      </c>
      <c r="C450" s="281" t="s">
        <v>4</v>
      </c>
      <c r="D450" s="420" t="s">
        <v>48</v>
      </c>
      <c r="E450" s="421" t="str">
        <f>B!$D$11</f>
        <v>Jan-17</v>
      </c>
      <c r="F450" s="421" t="str">
        <f>B!$E$11</f>
        <v>Feb-17</v>
      </c>
      <c r="G450" s="421" t="str">
        <f>B!$F$11</f>
        <v>Mar-17</v>
      </c>
      <c r="H450" s="421" t="str">
        <f>B!$G$11</f>
        <v>Apr-17</v>
      </c>
      <c r="I450" s="421" t="str">
        <f>B!$H$11</f>
        <v>May-17</v>
      </c>
      <c r="J450" s="421" t="str">
        <f>B!$I$11</f>
        <v>Jun-17</v>
      </c>
      <c r="K450" s="421" t="str">
        <f>B!$J$11</f>
        <v>Jul-17</v>
      </c>
      <c r="L450" s="421" t="str">
        <f>B!$K$11</f>
        <v>Aug-17</v>
      </c>
      <c r="M450" s="421" t="str">
        <f>B!$L$11</f>
        <v>Sep-17</v>
      </c>
      <c r="N450" s="421" t="str">
        <f>B!$M$11</f>
        <v>Oct-17</v>
      </c>
      <c r="O450" s="421" t="str">
        <f>B!$N$11</f>
        <v>Nov-17</v>
      </c>
      <c r="P450" s="421" t="str">
        <f>B!$O$11</f>
        <v>Dec-17</v>
      </c>
      <c r="Q450" s="421" t="s">
        <v>9</v>
      </c>
    </row>
    <row r="451" spans="1:17" s="222" customFormat="1" x14ac:dyDescent="0.2">
      <c r="A451" s="410"/>
      <c r="B451" s="229" t="s">
        <v>42</v>
      </c>
      <c r="C451" s="229" t="s">
        <v>43</v>
      </c>
      <c r="D451" s="423" t="s">
        <v>45</v>
      </c>
      <c r="E451" s="424" t="s">
        <v>46</v>
      </c>
      <c r="F451" s="424" t="s">
        <v>49</v>
      </c>
      <c r="G451" s="424" t="s">
        <v>50</v>
      </c>
      <c r="H451" s="424" t="s">
        <v>51</v>
      </c>
      <c r="I451" s="424" t="s">
        <v>52</v>
      </c>
      <c r="J451" s="425" t="s">
        <v>53</v>
      </c>
      <c r="K451" s="425" t="s">
        <v>54</v>
      </c>
      <c r="L451" s="425" t="s">
        <v>55</v>
      </c>
      <c r="M451" s="425" t="s">
        <v>56</v>
      </c>
      <c r="N451" s="425" t="s">
        <v>57</v>
      </c>
      <c r="O451" s="425" t="s">
        <v>58</v>
      </c>
      <c r="P451" s="425" t="s">
        <v>59</v>
      </c>
      <c r="Q451" s="425" t="s">
        <v>203</v>
      </c>
    </row>
    <row r="452" spans="1:17" s="222" customFormat="1" x14ac:dyDescent="0.2">
      <c r="A452" s="259"/>
      <c r="D452" s="286"/>
      <c r="E452" s="230"/>
      <c r="F452" s="727"/>
      <c r="G452" s="723"/>
      <c r="H452" s="727"/>
      <c r="I452" s="724"/>
      <c r="J452" s="727"/>
      <c r="K452" s="727"/>
      <c r="L452" s="727"/>
      <c r="M452" s="727"/>
      <c r="N452" s="727"/>
      <c r="O452" s="727"/>
      <c r="P452" s="727"/>
      <c r="Q452" s="230"/>
    </row>
    <row r="453" spans="1:17" s="222" customFormat="1" x14ac:dyDescent="0.2">
      <c r="A453" s="259"/>
      <c r="D453" s="286"/>
      <c r="F453" s="288"/>
      <c r="G453" s="469"/>
      <c r="H453" s="288"/>
      <c r="I453" s="293"/>
      <c r="J453" s="288"/>
      <c r="K453" s="288"/>
      <c r="L453" s="288"/>
      <c r="M453" s="288"/>
      <c r="N453" s="288"/>
      <c r="O453" s="288"/>
      <c r="P453" s="288"/>
    </row>
    <row r="454" spans="1:17" s="222" customFormat="1" x14ac:dyDescent="0.2">
      <c r="A454" s="259">
        <v>1</v>
      </c>
      <c r="B454" s="222" t="str">
        <f>B78</f>
        <v>G1R</v>
      </c>
      <c r="C454" s="222" t="str">
        <f>C78</f>
        <v>LG&amp;E Residential</v>
      </c>
      <c r="D454" s="286"/>
      <c r="F454" s="288"/>
      <c r="G454" s="469"/>
      <c r="H454" s="288"/>
      <c r="I454" s="293"/>
      <c r="J454" s="288"/>
      <c r="K454" s="288"/>
      <c r="L454" s="288"/>
      <c r="M454" s="288"/>
      <c r="N454" s="288"/>
      <c r="O454" s="288"/>
      <c r="P454" s="288"/>
    </row>
    <row r="455" spans="1:17" s="222" customFormat="1" x14ac:dyDescent="0.2">
      <c r="A455" s="259"/>
      <c r="D455" s="286"/>
      <c r="F455" s="288"/>
      <c r="G455" s="469"/>
      <c r="H455" s="288"/>
      <c r="I455" s="293"/>
      <c r="J455" s="288"/>
      <c r="K455" s="288"/>
      <c r="L455" s="288"/>
      <c r="M455" s="288"/>
      <c r="N455" s="288"/>
      <c r="O455" s="288"/>
      <c r="P455" s="288"/>
    </row>
    <row r="456" spans="1:17" s="222" customFormat="1" x14ac:dyDescent="0.2">
      <c r="A456" s="259">
        <f>A454+1</f>
        <v>2</v>
      </c>
      <c r="C456" s="262" t="s">
        <v>109</v>
      </c>
      <c r="D456" s="286"/>
      <c r="F456" s="288"/>
      <c r="G456" s="469"/>
      <c r="H456" s="288"/>
      <c r="I456" s="293"/>
      <c r="J456" s="288"/>
      <c r="K456" s="288"/>
      <c r="L456" s="288"/>
      <c r="M456" s="288"/>
      <c r="N456" s="288"/>
      <c r="O456" s="288"/>
      <c r="P456" s="288"/>
    </row>
    <row r="457" spans="1:17" s="222" customFormat="1" x14ac:dyDescent="0.2">
      <c r="A457" s="259"/>
      <c r="D457" s="286"/>
      <c r="F457" s="288"/>
      <c r="G457" s="469"/>
      <c r="H457" s="288"/>
      <c r="I457" s="293"/>
      <c r="J457" s="288"/>
      <c r="K457" s="288"/>
      <c r="L457" s="288"/>
      <c r="M457" s="288"/>
      <c r="N457" s="288"/>
      <c r="O457" s="288"/>
      <c r="P457" s="288"/>
    </row>
    <row r="458" spans="1:17" s="222" customFormat="1" x14ac:dyDescent="0.2">
      <c r="A458" s="259">
        <f>A456+1</f>
        <v>3</v>
      </c>
      <c r="C458" s="222" t="s">
        <v>202</v>
      </c>
      <c r="D458" s="286"/>
      <c r="E458" s="472">
        <f>B!D27</f>
        <v>16</v>
      </c>
      <c r="F458" s="472">
        <f>B!E27</f>
        <v>16</v>
      </c>
      <c r="G458" s="472">
        <f>B!F27</f>
        <v>16</v>
      </c>
      <c r="H458" s="472">
        <f>B!G27</f>
        <v>16</v>
      </c>
      <c r="I458" s="472">
        <f>B!H27</f>
        <v>16</v>
      </c>
      <c r="J458" s="472">
        <f>B!I27</f>
        <v>16</v>
      </c>
      <c r="K458" s="472">
        <f>B!J27</f>
        <v>16</v>
      </c>
      <c r="L458" s="472">
        <f>B!K27</f>
        <v>16</v>
      </c>
      <c r="M458" s="472">
        <f>B!L27</f>
        <v>16</v>
      </c>
      <c r="N458" s="472">
        <f>B!M27</f>
        <v>16</v>
      </c>
      <c r="O458" s="472">
        <f>B!N27</f>
        <v>16</v>
      </c>
      <c r="P458" s="472">
        <f>B!O27</f>
        <v>16</v>
      </c>
      <c r="Q458" s="528">
        <f>SUM(E458:P458)</f>
        <v>192</v>
      </c>
    </row>
    <row r="459" spans="1:17" s="222" customFormat="1" x14ac:dyDescent="0.2">
      <c r="A459" s="259">
        <f>A458+1</f>
        <v>4</v>
      </c>
      <c r="C459" s="222" t="s">
        <v>210</v>
      </c>
      <c r="D459" s="781">
        <f>Input!U21</f>
        <v>17.27</v>
      </c>
      <c r="E459" s="427">
        <f t="shared" ref="E459:P459" si="176">ROUND(E458*$D$459,2)</f>
        <v>276.32</v>
      </c>
      <c r="F459" s="427">
        <f t="shared" si="176"/>
        <v>276.32</v>
      </c>
      <c r="G459" s="427">
        <f t="shared" si="176"/>
        <v>276.32</v>
      </c>
      <c r="H459" s="427">
        <f t="shared" si="176"/>
        <v>276.32</v>
      </c>
      <c r="I459" s="427">
        <f t="shared" si="176"/>
        <v>276.32</v>
      </c>
      <c r="J459" s="427">
        <f t="shared" si="176"/>
        <v>276.32</v>
      </c>
      <c r="K459" s="427">
        <f t="shared" si="176"/>
        <v>276.32</v>
      </c>
      <c r="L459" s="427">
        <f t="shared" si="176"/>
        <v>276.32</v>
      </c>
      <c r="M459" s="427">
        <f t="shared" si="176"/>
        <v>276.32</v>
      </c>
      <c r="N459" s="427">
        <f t="shared" si="176"/>
        <v>276.32</v>
      </c>
      <c r="O459" s="427">
        <f t="shared" si="176"/>
        <v>276.32</v>
      </c>
      <c r="P459" s="427">
        <f t="shared" si="176"/>
        <v>276.32</v>
      </c>
      <c r="Q459" s="427">
        <f>SUM(E459:P459)</f>
        <v>3315.8400000000006</v>
      </c>
    </row>
    <row r="460" spans="1:17" s="222" customFormat="1" x14ac:dyDescent="0.2">
      <c r="A460" s="259"/>
      <c r="D460" s="286"/>
      <c r="F460" s="288"/>
      <c r="G460" s="469"/>
      <c r="H460" s="288"/>
      <c r="I460" s="293"/>
      <c r="J460" s="288"/>
      <c r="K460" s="288"/>
      <c r="L460" s="288"/>
      <c r="M460" s="288"/>
      <c r="N460" s="288"/>
      <c r="O460" s="288"/>
      <c r="P460" s="288"/>
    </row>
    <row r="461" spans="1:17" s="222" customFormat="1" x14ac:dyDescent="0.2">
      <c r="A461" s="259">
        <f>A459+1</f>
        <v>5</v>
      </c>
      <c r="C461" s="222" t="s">
        <v>209</v>
      </c>
      <c r="D461" s="512"/>
      <c r="E461" s="476">
        <f>'C'!D27</f>
        <v>458.3</v>
      </c>
      <c r="F461" s="476">
        <f>'C'!E27</f>
        <v>345.9</v>
      </c>
      <c r="G461" s="476">
        <f>'C'!F27</f>
        <v>279.39999999999998</v>
      </c>
      <c r="H461" s="476">
        <f>'C'!G27</f>
        <v>174.8</v>
      </c>
      <c r="I461" s="476">
        <f>'C'!H27</f>
        <v>81.099999999999994</v>
      </c>
      <c r="J461" s="476">
        <f>'C'!I27</f>
        <v>33.4</v>
      </c>
      <c r="K461" s="476">
        <f>'C'!J27</f>
        <v>24.1</v>
      </c>
      <c r="L461" s="476">
        <f>'C'!K27</f>
        <v>27.6</v>
      </c>
      <c r="M461" s="476">
        <f>'C'!L27</f>
        <v>28.4</v>
      </c>
      <c r="N461" s="476">
        <f>'C'!M27</f>
        <v>68</v>
      </c>
      <c r="O461" s="476">
        <f>'C'!N27</f>
        <v>159.19999999999999</v>
      </c>
      <c r="P461" s="476">
        <f>'C'!O27</f>
        <v>338.7</v>
      </c>
      <c r="Q461" s="728">
        <f>SUM(E461:P461)</f>
        <v>2018.8999999999999</v>
      </c>
    </row>
    <row r="462" spans="1:17" s="222" customFormat="1" x14ac:dyDescent="0.2">
      <c r="A462" s="259">
        <f>A461+1</f>
        <v>6</v>
      </c>
      <c r="C462" s="286" t="s">
        <v>212</v>
      </c>
      <c r="D462" s="782">
        <f>Input!P21</f>
        <v>2.96</v>
      </c>
      <c r="E462" s="427">
        <f t="shared" ref="E462:P462" si="177">ROUND(E461*$D$462,2)</f>
        <v>1356.57</v>
      </c>
      <c r="F462" s="427">
        <f t="shared" si="177"/>
        <v>1023.86</v>
      </c>
      <c r="G462" s="427">
        <f t="shared" si="177"/>
        <v>827.02</v>
      </c>
      <c r="H462" s="427">
        <f t="shared" si="177"/>
        <v>517.41</v>
      </c>
      <c r="I462" s="427">
        <f t="shared" si="177"/>
        <v>240.06</v>
      </c>
      <c r="J462" s="427">
        <f t="shared" si="177"/>
        <v>98.86</v>
      </c>
      <c r="K462" s="427">
        <f t="shared" si="177"/>
        <v>71.34</v>
      </c>
      <c r="L462" s="427">
        <f t="shared" si="177"/>
        <v>81.7</v>
      </c>
      <c r="M462" s="427">
        <f t="shared" si="177"/>
        <v>84.06</v>
      </c>
      <c r="N462" s="427">
        <f t="shared" si="177"/>
        <v>201.28</v>
      </c>
      <c r="O462" s="427">
        <f t="shared" si="177"/>
        <v>471.23</v>
      </c>
      <c r="P462" s="427">
        <f t="shared" si="177"/>
        <v>1002.55</v>
      </c>
      <c r="Q462" s="427">
        <f>SUM(E462:P462)</f>
        <v>5975.94</v>
      </c>
    </row>
    <row r="463" spans="1:17" s="222" customFormat="1" x14ac:dyDescent="0.2">
      <c r="A463" s="259"/>
      <c r="D463" s="286"/>
      <c r="F463" s="288"/>
      <c r="G463" s="469"/>
      <c r="H463" s="288"/>
      <c r="I463" s="293"/>
      <c r="J463" s="288"/>
      <c r="K463" s="288"/>
      <c r="L463" s="288"/>
      <c r="M463" s="288"/>
      <c r="N463" s="288"/>
      <c r="O463" s="288"/>
      <c r="P463" s="288"/>
      <c r="Q463" s="536"/>
    </row>
    <row r="464" spans="1:17" s="222" customFormat="1" x14ac:dyDescent="0.2">
      <c r="A464" s="615">
        <f>A462+1</f>
        <v>7</v>
      </c>
      <c r="B464" s="302"/>
      <c r="C464" s="302" t="s">
        <v>204</v>
      </c>
      <c r="D464" s="286"/>
      <c r="E464" s="427">
        <f t="shared" ref="E464:P464" si="178">E459+E462</f>
        <v>1632.8899999999999</v>
      </c>
      <c r="F464" s="427">
        <f t="shared" si="178"/>
        <v>1300.18</v>
      </c>
      <c r="G464" s="427">
        <f t="shared" si="178"/>
        <v>1103.3399999999999</v>
      </c>
      <c r="H464" s="427">
        <f t="shared" si="178"/>
        <v>793.73</v>
      </c>
      <c r="I464" s="427">
        <f t="shared" si="178"/>
        <v>516.38</v>
      </c>
      <c r="J464" s="427">
        <f t="shared" si="178"/>
        <v>375.18</v>
      </c>
      <c r="K464" s="427">
        <f t="shared" si="178"/>
        <v>347.65999999999997</v>
      </c>
      <c r="L464" s="427">
        <f t="shared" si="178"/>
        <v>358.02</v>
      </c>
      <c r="M464" s="427">
        <f t="shared" si="178"/>
        <v>360.38</v>
      </c>
      <c r="N464" s="427">
        <f t="shared" si="178"/>
        <v>477.6</v>
      </c>
      <c r="O464" s="427">
        <f t="shared" si="178"/>
        <v>747.55</v>
      </c>
      <c r="P464" s="427">
        <f t="shared" si="178"/>
        <v>1278.8699999999999</v>
      </c>
      <c r="Q464" s="427">
        <f>SUM(E464:P464)</f>
        <v>9291.7799999999988</v>
      </c>
    </row>
    <row r="465" spans="1:17" s="222" customFormat="1" x14ac:dyDescent="0.2">
      <c r="A465" s="259"/>
      <c r="D465" s="286"/>
      <c r="F465" s="288"/>
      <c r="G465" s="469"/>
      <c r="H465" s="288"/>
      <c r="I465" s="293"/>
      <c r="J465" s="288"/>
      <c r="K465" s="288"/>
      <c r="L465" s="288"/>
      <c r="M465" s="288"/>
      <c r="N465" s="288"/>
      <c r="O465" s="288"/>
      <c r="P465" s="288"/>
      <c r="Q465" s="469"/>
    </row>
    <row r="466" spans="1:17" s="222" customFormat="1" x14ac:dyDescent="0.2">
      <c r="A466" s="259">
        <f>A464+1</f>
        <v>8</v>
      </c>
      <c r="C466" s="222" t="s">
        <v>208</v>
      </c>
      <c r="D466" s="782">
        <f>EGC</f>
        <v>2.2090999999999998</v>
      </c>
      <c r="E466" s="427">
        <f t="shared" ref="E466:P466" si="179">ROUND(E461*$D$466,2)</f>
        <v>1012.43</v>
      </c>
      <c r="F466" s="427">
        <f t="shared" si="179"/>
        <v>764.13</v>
      </c>
      <c r="G466" s="427">
        <f t="shared" si="179"/>
        <v>617.22</v>
      </c>
      <c r="H466" s="427">
        <f t="shared" si="179"/>
        <v>386.15</v>
      </c>
      <c r="I466" s="427">
        <f t="shared" si="179"/>
        <v>179.16</v>
      </c>
      <c r="J466" s="427">
        <f t="shared" si="179"/>
        <v>73.78</v>
      </c>
      <c r="K466" s="427">
        <f t="shared" si="179"/>
        <v>53.24</v>
      </c>
      <c r="L466" s="427">
        <f t="shared" si="179"/>
        <v>60.97</v>
      </c>
      <c r="M466" s="427">
        <f t="shared" si="179"/>
        <v>62.74</v>
      </c>
      <c r="N466" s="427">
        <f t="shared" si="179"/>
        <v>150.22</v>
      </c>
      <c r="O466" s="427">
        <f t="shared" si="179"/>
        <v>351.69</v>
      </c>
      <c r="P466" s="427">
        <f t="shared" si="179"/>
        <v>748.22</v>
      </c>
      <c r="Q466" s="427">
        <f>SUM(E466:P466)</f>
        <v>4459.9499999999989</v>
      </c>
    </row>
    <row r="467" spans="1:17" s="222" customFormat="1" x14ac:dyDescent="0.2">
      <c r="A467" s="259"/>
      <c r="D467" s="286"/>
      <c r="F467" s="288"/>
      <c r="G467" s="469"/>
      <c r="H467" s="288"/>
      <c r="I467" s="293"/>
      <c r="J467" s="288"/>
      <c r="K467" s="288"/>
      <c r="L467" s="288"/>
      <c r="M467" s="288"/>
      <c r="N467" s="288"/>
      <c r="O467" s="288"/>
      <c r="P467" s="288"/>
    </row>
    <row r="468" spans="1:17" s="222" customFormat="1" ht="10.8" thickBot="1" x14ac:dyDescent="0.25">
      <c r="A468" s="717">
        <f>A466+1</f>
        <v>9</v>
      </c>
      <c r="B468" s="489"/>
      <c r="C468" s="718" t="s">
        <v>205</v>
      </c>
      <c r="D468" s="719"/>
      <c r="E468" s="492">
        <f t="shared" ref="E468:P468" si="180">E464+E466</f>
        <v>2645.3199999999997</v>
      </c>
      <c r="F468" s="492">
        <f t="shared" si="180"/>
        <v>2064.31</v>
      </c>
      <c r="G468" s="492">
        <f t="shared" si="180"/>
        <v>1720.56</v>
      </c>
      <c r="H468" s="492">
        <f t="shared" si="180"/>
        <v>1179.8800000000001</v>
      </c>
      <c r="I468" s="492">
        <f t="shared" si="180"/>
        <v>695.54</v>
      </c>
      <c r="J468" s="492">
        <f t="shared" si="180"/>
        <v>448.96000000000004</v>
      </c>
      <c r="K468" s="492">
        <f t="shared" si="180"/>
        <v>400.9</v>
      </c>
      <c r="L468" s="492">
        <f t="shared" si="180"/>
        <v>418.99</v>
      </c>
      <c r="M468" s="492">
        <f t="shared" si="180"/>
        <v>423.12</v>
      </c>
      <c r="N468" s="492">
        <f t="shared" si="180"/>
        <v>627.82000000000005</v>
      </c>
      <c r="O468" s="492">
        <f t="shared" si="180"/>
        <v>1099.24</v>
      </c>
      <c r="P468" s="492">
        <f t="shared" si="180"/>
        <v>2027.09</v>
      </c>
      <c r="Q468" s="492">
        <f>SUM(E468:P468)</f>
        <v>13751.73</v>
      </c>
    </row>
    <row r="469" spans="1:17" s="222" customFormat="1" ht="10.8" thickTop="1" x14ac:dyDescent="0.2">
      <c r="A469" s="615"/>
      <c r="B469" s="302"/>
      <c r="C469" s="302"/>
      <c r="D469" s="304"/>
      <c r="E469" s="607"/>
      <c r="F469" s="607"/>
      <c r="G469" s="607"/>
      <c r="H469" s="607"/>
      <c r="I469" s="607"/>
      <c r="J469" s="607"/>
      <c r="K469" s="607"/>
      <c r="L469" s="607"/>
      <c r="M469" s="607"/>
      <c r="N469" s="607"/>
      <c r="O469" s="607"/>
      <c r="P469" s="607"/>
      <c r="Q469" s="729"/>
    </row>
    <row r="470" spans="1:17" s="222" customFormat="1" x14ac:dyDescent="0.2">
      <c r="A470" s="615"/>
      <c r="B470" s="302"/>
      <c r="C470" s="302"/>
      <c r="D470" s="304"/>
      <c r="E470" s="607"/>
      <c r="F470" s="607"/>
      <c r="G470" s="607"/>
      <c r="H470" s="607"/>
      <c r="I470" s="607"/>
      <c r="J470" s="607"/>
      <c r="K470" s="607"/>
      <c r="L470" s="607"/>
      <c r="M470" s="607"/>
      <c r="N470" s="607"/>
      <c r="O470" s="607"/>
      <c r="P470" s="607"/>
      <c r="Q470" s="729"/>
    </row>
    <row r="471" spans="1:17" s="222" customFormat="1" x14ac:dyDescent="0.2">
      <c r="A471" s="259">
        <f>A468+1</f>
        <v>10</v>
      </c>
      <c r="B471" s="222" t="str">
        <f>B85</f>
        <v>IN3</v>
      </c>
      <c r="C471" s="222" t="str">
        <f>C85</f>
        <v>Inland Gas General Service - Residential</v>
      </c>
      <c r="D471" s="286"/>
      <c r="F471" s="288"/>
      <c r="G471" s="469"/>
      <c r="H471" s="288"/>
      <c r="I471" s="293"/>
      <c r="J471" s="288"/>
      <c r="K471" s="288"/>
      <c r="L471" s="288"/>
      <c r="M471" s="288"/>
      <c r="N471" s="288"/>
      <c r="O471" s="288"/>
      <c r="P471" s="288"/>
    </row>
    <row r="472" spans="1:17" s="222" customFormat="1" x14ac:dyDescent="0.2">
      <c r="A472" s="259"/>
      <c r="D472" s="286"/>
      <c r="F472" s="288"/>
      <c r="G472" s="469"/>
      <c r="H472" s="288"/>
      <c r="I472" s="293"/>
      <c r="J472" s="288"/>
      <c r="K472" s="288"/>
      <c r="L472" s="288"/>
      <c r="M472" s="288"/>
      <c r="N472" s="288"/>
      <c r="O472" s="288"/>
      <c r="P472" s="288"/>
    </row>
    <row r="473" spans="1:17" s="222" customFormat="1" x14ac:dyDescent="0.2">
      <c r="A473" s="259">
        <f>A471+1</f>
        <v>11</v>
      </c>
      <c r="C473" s="262" t="s">
        <v>109</v>
      </c>
      <c r="D473" s="286"/>
      <c r="F473" s="288"/>
      <c r="G473" s="469"/>
      <c r="H473" s="288"/>
      <c r="I473" s="293"/>
      <c r="J473" s="288"/>
      <c r="K473" s="288"/>
      <c r="L473" s="288"/>
      <c r="M473" s="288"/>
      <c r="N473" s="288"/>
      <c r="O473" s="288"/>
      <c r="P473" s="288"/>
    </row>
    <row r="474" spans="1:17" s="222" customFormat="1" x14ac:dyDescent="0.2">
      <c r="A474" s="259"/>
      <c r="D474" s="286"/>
      <c r="F474" s="288"/>
      <c r="G474" s="469"/>
      <c r="H474" s="288"/>
      <c r="I474" s="293"/>
      <c r="J474" s="288"/>
      <c r="K474" s="288"/>
      <c r="L474" s="288"/>
      <c r="M474" s="288"/>
      <c r="N474" s="288"/>
      <c r="O474" s="288"/>
      <c r="P474" s="288"/>
    </row>
    <row r="475" spans="1:17" s="222" customFormat="1" x14ac:dyDescent="0.2">
      <c r="A475" s="259">
        <f>A473+1</f>
        <v>12</v>
      </c>
      <c r="C475" s="222" t="s">
        <v>202</v>
      </c>
      <c r="D475" s="286"/>
      <c r="E475" s="472">
        <f>B!D32</f>
        <v>9</v>
      </c>
      <c r="F475" s="472">
        <f>B!E32</f>
        <v>9</v>
      </c>
      <c r="G475" s="472">
        <f>B!F32</f>
        <v>9</v>
      </c>
      <c r="H475" s="472">
        <f>B!G32</f>
        <v>10</v>
      </c>
      <c r="I475" s="472">
        <f>B!H32</f>
        <v>8</v>
      </c>
      <c r="J475" s="472">
        <f>B!I32</f>
        <v>9</v>
      </c>
      <c r="K475" s="472">
        <f>B!J32</f>
        <v>9</v>
      </c>
      <c r="L475" s="472">
        <f>B!K32</f>
        <v>9</v>
      </c>
      <c r="M475" s="472">
        <f>B!L32</f>
        <v>9</v>
      </c>
      <c r="N475" s="472">
        <f>B!M32</f>
        <v>9</v>
      </c>
      <c r="O475" s="472">
        <f>B!N32</f>
        <v>9</v>
      </c>
      <c r="P475" s="472">
        <f>B!O32</f>
        <v>9</v>
      </c>
      <c r="Q475" s="528">
        <f>SUM(E475:P475)</f>
        <v>108</v>
      </c>
    </row>
    <row r="476" spans="1:17" s="222" customFormat="1" x14ac:dyDescent="0.2">
      <c r="A476" s="259">
        <f>A475+1</f>
        <v>13</v>
      </c>
      <c r="C476" s="222" t="s">
        <v>210</v>
      </c>
      <c r="D476" s="781">
        <f>Input!U22</f>
        <v>0</v>
      </c>
      <c r="E476" s="427">
        <f t="shared" ref="E476:P476" si="181">ROUND(E475*$D$476,2)</f>
        <v>0</v>
      </c>
      <c r="F476" s="427">
        <f t="shared" si="181"/>
        <v>0</v>
      </c>
      <c r="G476" s="427">
        <f t="shared" si="181"/>
        <v>0</v>
      </c>
      <c r="H476" s="427">
        <f t="shared" si="181"/>
        <v>0</v>
      </c>
      <c r="I476" s="427">
        <f t="shared" si="181"/>
        <v>0</v>
      </c>
      <c r="J476" s="427">
        <f t="shared" si="181"/>
        <v>0</v>
      </c>
      <c r="K476" s="427">
        <f t="shared" si="181"/>
        <v>0</v>
      </c>
      <c r="L476" s="427">
        <f t="shared" si="181"/>
        <v>0</v>
      </c>
      <c r="M476" s="427">
        <f t="shared" si="181"/>
        <v>0</v>
      </c>
      <c r="N476" s="427">
        <f t="shared" si="181"/>
        <v>0</v>
      </c>
      <c r="O476" s="427">
        <f t="shared" si="181"/>
        <v>0</v>
      </c>
      <c r="P476" s="427">
        <f t="shared" si="181"/>
        <v>0</v>
      </c>
      <c r="Q476" s="427">
        <f>SUM(E476:P476)</f>
        <v>0</v>
      </c>
    </row>
    <row r="477" spans="1:17" s="222" customFormat="1" x14ac:dyDescent="0.2">
      <c r="A477" s="259"/>
      <c r="D477" s="286"/>
      <c r="F477" s="288"/>
      <c r="G477" s="469"/>
      <c r="H477" s="288"/>
      <c r="I477" s="293"/>
      <c r="J477" s="507"/>
      <c r="K477" s="288"/>
      <c r="L477" s="288"/>
      <c r="M477" s="288"/>
      <c r="N477" s="288"/>
      <c r="O477" s="288"/>
      <c r="P477" s="288"/>
    </row>
    <row r="478" spans="1:17" s="222" customFormat="1" x14ac:dyDescent="0.2">
      <c r="A478" s="259">
        <f>A476+1</f>
        <v>14</v>
      </c>
      <c r="C478" s="286" t="s">
        <v>209</v>
      </c>
      <c r="D478" s="512"/>
      <c r="E478" s="476">
        <f>'C'!D32</f>
        <v>247.9</v>
      </c>
      <c r="F478" s="476">
        <f>'C'!E32</f>
        <v>172.9</v>
      </c>
      <c r="G478" s="476">
        <f>'C'!F32</f>
        <v>116.2</v>
      </c>
      <c r="H478" s="476">
        <f>'C'!G32</f>
        <v>84.5</v>
      </c>
      <c r="I478" s="476">
        <f>'C'!H32</f>
        <v>36.299999999999997</v>
      </c>
      <c r="J478" s="476">
        <f>'C'!I32</f>
        <v>17</v>
      </c>
      <c r="K478" s="476">
        <f>'C'!J32</f>
        <v>11.6</v>
      </c>
      <c r="L478" s="476">
        <f>'C'!K32</f>
        <v>10.8</v>
      </c>
      <c r="M478" s="476">
        <f>'C'!L32</f>
        <v>11.5</v>
      </c>
      <c r="N478" s="476">
        <f>'C'!M32</f>
        <v>34</v>
      </c>
      <c r="O478" s="476">
        <f>'C'!N32</f>
        <v>90.2</v>
      </c>
      <c r="P478" s="476">
        <f>'C'!O32</f>
        <v>157.30000000000001</v>
      </c>
      <c r="Q478" s="728">
        <f>SUM(E478:P478)</f>
        <v>990.2</v>
      </c>
    </row>
    <row r="479" spans="1:17" s="222" customFormat="1" x14ac:dyDescent="0.2">
      <c r="A479" s="259">
        <f>A478+1</f>
        <v>15</v>
      </c>
      <c r="C479" s="222" t="s">
        <v>212</v>
      </c>
      <c r="D479" s="782">
        <f>Input!P22</f>
        <v>0.4</v>
      </c>
      <c r="E479" s="427">
        <f t="shared" ref="E479:P479" si="182">ROUND(E478*$D$479,2)</f>
        <v>99.16</v>
      </c>
      <c r="F479" s="427">
        <f t="shared" si="182"/>
        <v>69.16</v>
      </c>
      <c r="G479" s="427">
        <f t="shared" si="182"/>
        <v>46.48</v>
      </c>
      <c r="H479" s="427">
        <f t="shared" si="182"/>
        <v>33.799999999999997</v>
      </c>
      <c r="I479" s="427">
        <f t="shared" si="182"/>
        <v>14.52</v>
      </c>
      <c r="J479" s="427">
        <f t="shared" si="182"/>
        <v>6.8</v>
      </c>
      <c r="K479" s="427">
        <f t="shared" si="182"/>
        <v>4.6399999999999997</v>
      </c>
      <c r="L479" s="427">
        <f t="shared" si="182"/>
        <v>4.32</v>
      </c>
      <c r="M479" s="427">
        <f t="shared" si="182"/>
        <v>4.5999999999999996</v>
      </c>
      <c r="N479" s="427">
        <f t="shared" si="182"/>
        <v>13.6</v>
      </c>
      <c r="O479" s="427">
        <f t="shared" si="182"/>
        <v>36.08</v>
      </c>
      <c r="P479" s="427">
        <f t="shared" si="182"/>
        <v>62.92</v>
      </c>
      <c r="Q479" s="427">
        <f>SUM(E479:P479)</f>
        <v>396.08</v>
      </c>
    </row>
    <row r="480" spans="1:17" s="222" customFormat="1" x14ac:dyDescent="0.2">
      <c r="A480" s="259"/>
      <c r="D480" s="286"/>
      <c r="F480" s="288"/>
      <c r="G480" s="469"/>
      <c r="H480" s="288"/>
      <c r="I480" s="293"/>
      <c r="J480" s="288"/>
      <c r="K480" s="288"/>
      <c r="L480" s="288"/>
      <c r="M480" s="288"/>
      <c r="N480" s="288"/>
      <c r="O480" s="288"/>
      <c r="P480" s="288"/>
      <c r="Q480" s="536"/>
    </row>
    <row r="481" spans="1:17" s="222" customFormat="1" x14ac:dyDescent="0.2">
      <c r="A481" s="259">
        <f>A479+1</f>
        <v>16</v>
      </c>
      <c r="C481" s="222" t="s">
        <v>204</v>
      </c>
      <c r="D481" s="286"/>
      <c r="E481" s="427">
        <f t="shared" ref="E481:P481" si="183">E476+E479</f>
        <v>99.16</v>
      </c>
      <c r="F481" s="427">
        <f t="shared" si="183"/>
        <v>69.16</v>
      </c>
      <c r="G481" s="427">
        <f t="shared" si="183"/>
        <v>46.48</v>
      </c>
      <c r="H481" s="427">
        <f t="shared" si="183"/>
        <v>33.799999999999997</v>
      </c>
      <c r="I481" s="427">
        <f t="shared" si="183"/>
        <v>14.52</v>
      </c>
      <c r="J481" s="427">
        <f t="shared" si="183"/>
        <v>6.8</v>
      </c>
      <c r="K481" s="427">
        <f t="shared" si="183"/>
        <v>4.6399999999999997</v>
      </c>
      <c r="L481" s="427">
        <f t="shared" si="183"/>
        <v>4.32</v>
      </c>
      <c r="M481" s="427">
        <f t="shared" si="183"/>
        <v>4.5999999999999996</v>
      </c>
      <c r="N481" s="427">
        <f t="shared" si="183"/>
        <v>13.6</v>
      </c>
      <c r="O481" s="427">
        <f t="shared" si="183"/>
        <v>36.08</v>
      </c>
      <c r="P481" s="427">
        <f t="shared" si="183"/>
        <v>62.92</v>
      </c>
      <c r="Q481" s="427">
        <f>SUM(E481:P481)</f>
        <v>396.08</v>
      </c>
    </row>
    <row r="482" spans="1:17" s="222" customFormat="1" x14ac:dyDescent="0.2">
      <c r="A482" s="259"/>
      <c r="D482" s="286"/>
      <c r="F482" s="288"/>
      <c r="G482" s="469"/>
      <c r="H482" s="288"/>
      <c r="I482" s="293"/>
      <c r="J482" s="288"/>
      <c r="K482" s="288"/>
      <c r="L482" s="288"/>
      <c r="M482" s="288"/>
      <c r="N482" s="288"/>
      <c r="O482" s="288"/>
      <c r="P482" s="288"/>
      <c r="Q482" s="469"/>
    </row>
    <row r="483" spans="1:17" s="222" customFormat="1" x14ac:dyDescent="0.2">
      <c r="A483" s="259">
        <f>A481+1</f>
        <v>17</v>
      </c>
      <c r="C483" s="222" t="s">
        <v>151</v>
      </c>
      <c r="D483" s="783">
        <v>0</v>
      </c>
      <c r="E483" s="510">
        <v>0</v>
      </c>
      <c r="F483" s="510">
        <v>0</v>
      </c>
      <c r="G483" s="510">
        <v>0</v>
      </c>
      <c r="H483" s="510">
        <v>0</v>
      </c>
      <c r="I483" s="510">
        <v>0</v>
      </c>
      <c r="J483" s="510">
        <v>0</v>
      </c>
      <c r="K483" s="510">
        <v>0</v>
      </c>
      <c r="L483" s="510">
        <v>0</v>
      </c>
      <c r="M483" s="510">
        <v>0</v>
      </c>
      <c r="N483" s="510">
        <v>0</v>
      </c>
      <c r="O483" s="510">
        <v>0</v>
      </c>
      <c r="P483" s="510">
        <v>0</v>
      </c>
      <c r="Q483" s="427">
        <f>SUM(E483:P483)</f>
        <v>0</v>
      </c>
    </row>
    <row r="484" spans="1:17" s="222" customFormat="1" x14ac:dyDescent="0.2">
      <c r="A484" s="259"/>
      <c r="D484" s="509"/>
      <c r="F484" s="288"/>
      <c r="G484" s="469"/>
      <c r="H484" s="288"/>
      <c r="I484" s="293"/>
      <c r="J484" s="288"/>
      <c r="K484" s="288"/>
      <c r="L484" s="288"/>
      <c r="M484" s="288"/>
      <c r="N484" s="288"/>
      <c r="O484" s="288"/>
      <c r="P484" s="288"/>
    </row>
    <row r="485" spans="1:17" s="222" customFormat="1" ht="10.8" thickBot="1" x14ac:dyDescent="0.25">
      <c r="A485" s="717">
        <f>A483+1</f>
        <v>18</v>
      </c>
      <c r="B485" s="489"/>
      <c r="C485" s="718" t="s">
        <v>205</v>
      </c>
      <c r="D485" s="719"/>
      <c r="E485" s="492">
        <f t="shared" ref="E485:P485" si="184">E481+E483</f>
        <v>99.16</v>
      </c>
      <c r="F485" s="492">
        <f t="shared" si="184"/>
        <v>69.16</v>
      </c>
      <c r="G485" s="492">
        <f t="shared" si="184"/>
        <v>46.48</v>
      </c>
      <c r="H485" s="492">
        <f t="shared" si="184"/>
        <v>33.799999999999997</v>
      </c>
      <c r="I485" s="492">
        <f t="shared" si="184"/>
        <v>14.52</v>
      </c>
      <c r="J485" s="492">
        <f t="shared" si="184"/>
        <v>6.8</v>
      </c>
      <c r="K485" s="492">
        <f t="shared" si="184"/>
        <v>4.6399999999999997</v>
      </c>
      <c r="L485" s="492">
        <f t="shared" si="184"/>
        <v>4.32</v>
      </c>
      <c r="M485" s="492">
        <f t="shared" si="184"/>
        <v>4.5999999999999996</v>
      </c>
      <c r="N485" s="492">
        <f t="shared" si="184"/>
        <v>13.6</v>
      </c>
      <c r="O485" s="492">
        <f t="shared" si="184"/>
        <v>36.08</v>
      </c>
      <c r="P485" s="492">
        <f t="shared" si="184"/>
        <v>62.92</v>
      </c>
      <c r="Q485" s="492">
        <f>SUM(E485:P485)</f>
        <v>396.08</v>
      </c>
    </row>
    <row r="486" spans="1:17" s="222" customFormat="1" ht="10.8" thickTop="1" x14ac:dyDescent="0.2">
      <c r="A486" s="259"/>
      <c r="D486" s="286"/>
      <c r="E486" s="482"/>
      <c r="F486" s="482"/>
      <c r="G486" s="482"/>
      <c r="H486" s="482"/>
      <c r="I486" s="482"/>
      <c r="J486" s="482"/>
      <c r="K486" s="482"/>
      <c r="L486" s="482"/>
      <c r="M486" s="482"/>
      <c r="N486" s="482"/>
      <c r="O486" s="482"/>
      <c r="P486" s="482"/>
      <c r="Q486" s="482"/>
    </row>
    <row r="487" spans="1:17" s="222" customFormat="1" x14ac:dyDescent="0.2">
      <c r="A487" s="259"/>
      <c r="D487" s="286"/>
      <c r="E487" s="482"/>
      <c r="F487" s="482"/>
      <c r="G487" s="482"/>
      <c r="H487" s="482"/>
      <c r="I487" s="482"/>
      <c r="J487" s="482"/>
      <c r="K487" s="482"/>
      <c r="L487" s="482"/>
      <c r="M487" s="482"/>
      <c r="N487" s="482"/>
      <c r="O487" s="482"/>
      <c r="P487" s="482"/>
      <c r="Q487" s="482"/>
    </row>
    <row r="488" spans="1:17" s="222" customFormat="1" x14ac:dyDescent="0.2">
      <c r="A488" s="259">
        <v>1</v>
      </c>
      <c r="B488" s="222" t="str">
        <f>B92</f>
        <v>IN4</v>
      </c>
      <c r="C488" s="222" t="str">
        <f>C92</f>
        <v>Inland Gas General Service - Residential</v>
      </c>
      <c r="D488" s="286"/>
      <c r="F488" s="288"/>
      <c r="G488" s="469"/>
      <c r="H488" s="288"/>
      <c r="I488" s="293"/>
      <c r="J488" s="288"/>
      <c r="K488" s="288"/>
      <c r="L488" s="288"/>
      <c r="M488" s="288"/>
      <c r="N488" s="288"/>
      <c r="O488" s="288"/>
      <c r="P488" s="288"/>
    </row>
    <row r="489" spans="1:17" s="222" customFormat="1" x14ac:dyDescent="0.2">
      <c r="A489" s="259"/>
      <c r="D489" s="286"/>
      <c r="F489" s="288"/>
      <c r="G489" s="469"/>
      <c r="H489" s="288"/>
      <c r="I489" s="293"/>
      <c r="J489" s="288"/>
      <c r="K489" s="288"/>
      <c r="L489" s="288"/>
      <c r="M489" s="288"/>
      <c r="N489" s="288"/>
      <c r="O489" s="288"/>
      <c r="P489" s="288"/>
    </row>
    <row r="490" spans="1:17" s="222" customFormat="1" x14ac:dyDescent="0.2">
      <c r="A490" s="259">
        <f>A488+1</f>
        <v>2</v>
      </c>
      <c r="C490" s="262" t="s">
        <v>109</v>
      </c>
      <c r="D490" s="286"/>
      <c r="F490" s="288"/>
      <c r="G490" s="469"/>
      <c r="H490" s="288"/>
      <c r="I490" s="293"/>
      <c r="J490" s="288"/>
      <c r="K490" s="288"/>
      <c r="L490" s="288"/>
      <c r="M490" s="288"/>
      <c r="N490" s="288"/>
      <c r="O490" s="288"/>
      <c r="P490" s="288"/>
    </row>
    <row r="491" spans="1:17" s="222" customFormat="1" x14ac:dyDescent="0.2">
      <c r="A491" s="259"/>
      <c r="D491" s="286"/>
      <c r="F491" s="288"/>
      <c r="G491" s="469"/>
      <c r="H491" s="288"/>
      <c r="I491" s="293"/>
      <c r="J491" s="288"/>
      <c r="K491" s="288"/>
      <c r="L491" s="288"/>
      <c r="M491" s="288"/>
      <c r="N491" s="288"/>
      <c r="O491" s="288"/>
      <c r="P491" s="288"/>
    </row>
    <row r="492" spans="1:17" s="222" customFormat="1" x14ac:dyDescent="0.2">
      <c r="A492" s="259">
        <f>A490+1</f>
        <v>3</v>
      </c>
      <c r="C492" s="222" t="s">
        <v>202</v>
      </c>
      <c r="D492" s="286"/>
      <c r="E492" s="759">
        <f>B!D37</f>
        <v>0</v>
      </c>
      <c r="F492" s="759">
        <f>B!E37</f>
        <v>0</v>
      </c>
      <c r="G492" s="759">
        <f>B!F37</f>
        <v>0</v>
      </c>
      <c r="H492" s="759">
        <f>B!G37</f>
        <v>0</v>
      </c>
      <c r="I492" s="759">
        <f>B!H37</f>
        <v>0</v>
      </c>
      <c r="J492" s="759">
        <f>B!I37</f>
        <v>0</v>
      </c>
      <c r="K492" s="759">
        <f>B!J37</f>
        <v>0</v>
      </c>
      <c r="L492" s="759">
        <f>B!K37</f>
        <v>0</v>
      </c>
      <c r="M492" s="759">
        <f>B!L37</f>
        <v>0</v>
      </c>
      <c r="N492" s="759">
        <f>B!M37</f>
        <v>0</v>
      </c>
      <c r="O492" s="759">
        <f>B!N37</f>
        <v>0</v>
      </c>
      <c r="P492" s="759">
        <f>B!O37</f>
        <v>0</v>
      </c>
      <c r="Q492" s="286">
        <f>SUM(E492:P492)</f>
        <v>0</v>
      </c>
    </row>
    <row r="493" spans="1:17" s="222" customFormat="1" x14ac:dyDescent="0.2">
      <c r="A493" s="259">
        <f>A492+1</f>
        <v>4</v>
      </c>
      <c r="C493" s="222" t="s">
        <v>210</v>
      </c>
      <c r="D493" s="781">
        <f>Input!U24</f>
        <v>0</v>
      </c>
      <c r="E493" s="427">
        <f t="shared" ref="E493:P493" si="185">ROUND(E492*$D$493,2)</f>
        <v>0</v>
      </c>
      <c r="F493" s="427">
        <f t="shared" si="185"/>
        <v>0</v>
      </c>
      <c r="G493" s="427">
        <f t="shared" si="185"/>
        <v>0</v>
      </c>
      <c r="H493" s="427">
        <f t="shared" si="185"/>
        <v>0</v>
      </c>
      <c r="I493" s="427">
        <f t="shared" si="185"/>
        <v>0</v>
      </c>
      <c r="J493" s="427">
        <f t="shared" si="185"/>
        <v>0</v>
      </c>
      <c r="K493" s="427">
        <f t="shared" si="185"/>
        <v>0</v>
      </c>
      <c r="L493" s="427">
        <f t="shared" si="185"/>
        <v>0</v>
      </c>
      <c r="M493" s="427">
        <f t="shared" si="185"/>
        <v>0</v>
      </c>
      <c r="N493" s="427">
        <f t="shared" si="185"/>
        <v>0</v>
      </c>
      <c r="O493" s="427">
        <f t="shared" si="185"/>
        <v>0</v>
      </c>
      <c r="P493" s="427">
        <f t="shared" si="185"/>
        <v>0</v>
      </c>
      <c r="Q493" s="427">
        <f>SUM(E493:P493)</f>
        <v>0</v>
      </c>
    </row>
    <row r="494" spans="1:17" s="222" customFormat="1" x14ac:dyDescent="0.2">
      <c r="A494" s="259"/>
      <c r="D494" s="286"/>
      <c r="E494" s="514"/>
      <c r="F494" s="288"/>
      <c r="G494" s="469"/>
      <c r="H494" s="288"/>
      <c r="I494" s="293"/>
      <c r="J494" s="507"/>
      <c r="K494" s="288"/>
      <c r="L494" s="288"/>
      <c r="M494" s="288"/>
      <c r="N494" s="288"/>
      <c r="O494" s="288"/>
      <c r="P494" s="288"/>
    </row>
    <row r="495" spans="1:17" s="222" customFormat="1" x14ac:dyDescent="0.2">
      <c r="A495" s="259">
        <f>A493+1</f>
        <v>5</v>
      </c>
      <c r="C495" s="286" t="s">
        <v>209</v>
      </c>
      <c r="D495" s="512"/>
      <c r="E495" s="524">
        <f>'C'!D37</f>
        <v>0</v>
      </c>
      <c r="F495" s="524">
        <f>'C'!E37</f>
        <v>0</v>
      </c>
      <c r="G495" s="524">
        <f>'C'!F37</f>
        <v>0</v>
      </c>
      <c r="H495" s="524">
        <f>'C'!G37</f>
        <v>0</v>
      </c>
      <c r="I495" s="524">
        <f>'C'!H37</f>
        <v>0</v>
      </c>
      <c r="J495" s="524">
        <f>'C'!I37</f>
        <v>0</v>
      </c>
      <c r="K495" s="524">
        <f>'C'!J37</f>
        <v>0</v>
      </c>
      <c r="L495" s="524">
        <f>'C'!K37</f>
        <v>0</v>
      </c>
      <c r="M495" s="524">
        <f>'C'!L37</f>
        <v>0</v>
      </c>
      <c r="N495" s="524">
        <f>'C'!M37</f>
        <v>0</v>
      </c>
      <c r="O495" s="524">
        <f>'C'!N37</f>
        <v>0</v>
      </c>
      <c r="P495" s="524">
        <f>'C'!O37</f>
        <v>0</v>
      </c>
      <c r="Q495" s="293">
        <f>SUM(E495:P495)</f>
        <v>0</v>
      </c>
    </row>
    <row r="496" spans="1:17" s="222" customFormat="1" x14ac:dyDescent="0.2">
      <c r="A496" s="259">
        <f>A495+1</f>
        <v>6</v>
      </c>
      <c r="C496" s="222" t="s">
        <v>212</v>
      </c>
      <c r="D496" s="782">
        <f>Input!P24</f>
        <v>0.55000000000000004</v>
      </c>
      <c r="E496" s="427">
        <f t="shared" ref="E496:P496" si="186">ROUND(E495*$D$496,2)</f>
        <v>0</v>
      </c>
      <c r="F496" s="427">
        <f t="shared" si="186"/>
        <v>0</v>
      </c>
      <c r="G496" s="427">
        <f t="shared" si="186"/>
        <v>0</v>
      </c>
      <c r="H496" s="427">
        <f t="shared" si="186"/>
        <v>0</v>
      </c>
      <c r="I496" s="427">
        <f t="shared" si="186"/>
        <v>0</v>
      </c>
      <c r="J496" s="427">
        <f t="shared" si="186"/>
        <v>0</v>
      </c>
      <c r="K496" s="427">
        <f t="shared" si="186"/>
        <v>0</v>
      </c>
      <c r="L496" s="427">
        <f t="shared" si="186"/>
        <v>0</v>
      </c>
      <c r="M496" s="427">
        <f t="shared" si="186"/>
        <v>0</v>
      </c>
      <c r="N496" s="427">
        <f t="shared" si="186"/>
        <v>0</v>
      </c>
      <c r="O496" s="427">
        <f t="shared" si="186"/>
        <v>0</v>
      </c>
      <c r="P496" s="427">
        <f t="shared" si="186"/>
        <v>0</v>
      </c>
      <c r="Q496" s="427">
        <f>SUM(E496:P496)</f>
        <v>0</v>
      </c>
    </row>
    <row r="497" spans="1:17" s="222" customFormat="1" x14ac:dyDescent="0.2">
      <c r="A497" s="259"/>
      <c r="D497" s="286"/>
      <c r="F497" s="288"/>
      <c r="G497" s="469"/>
      <c r="H497" s="288"/>
      <c r="I497" s="293"/>
      <c r="J497" s="288"/>
      <c r="K497" s="288"/>
      <c r="L497" s="288"/>
      <c r="M497" s="288"/>
      <c r="N497" s="288"/>
      <c r="O497" s="288"/>
      <c r="P497" s="288"/>
      <c r="Q497" s="536"/>
    </row>
    <row r="498" spans="1:17" s="222" customFormat="1" x14ac:dyDescent="0.2">
      <c r="A498" s="259">
        <f>A496+1</f>
        <v>7</v>
      </c>
      <c r="C498" s="222" t="s">
        <v>204</v>
      </c>
      <c r="D498" s="286"/>
      <c r="E498" s="427">
        <f t="shared" ref="E498:P498" si="187">E493+E496</f>
        <v>0</v>
      </c>
      <c r="F498" s="427">
        <f t="shared" si="187"/>
        <v>0</v>
      </c>
      <c r="G498" s="427">
        <f t="shared" si="187"/>
        <v>0</v>
      </c>
      <c r="H498" s="427">
        <f t="shared" si="187"/>
        <v>0</v>
      </c>
      <c r="I498" s="427">
        <f t="shared" si="187"/>
        <v>0</v>
      </c>
      <c r="J498" s="427">
        <f t="shared" si="187"/>
        <v>0</v>
      </c>
      <c r="K498" s="427">
        <f t="shared" si="187"/>
        <v>0</v>
      </c>
      <c r="L498" s="427">
        <f t="shared" si="187"/>
        <v>0</v>
      </c>
      <c r="M498" s="427">
        <f t="shared" si="187"/>
        <v>0</v>
      </c>
      <c r="N498" s="427">
        <f t="shared" si="187"/>
        <v>0</v>
      </c>
      <c r="O498" s="427">
        <f t="shared" si="187"/>
        <v>0</v>
      </c>
      <c r="P498" s="427">
        <f t="shared" si="187"/>
        <v>0</v>
      </c>
      <c r="Q498" s="427">
        <f>SUM(E498:P498)</f>
        <v>0</v>
      </c>
    </row>
    <row r="499" spans="1:17" s="222" customFormat="1" x14ac:dyDescent="0.2">
      <c r="A499" s="259"/>
      <c r="D499" s="286"/>
      <c r="F499" s="288"/>
      <c r="G499" s="469"/>
      <c r="H499" s="288"/>
      <c r="I499" s="293"/>
      <c r="J499" s="288"/>
      <c r="K499" s="288"/>
      <c r="L499" s="288"/>
      <c r="M499" s="288"/>
      <c r="N499" s="288"/>
      <c r="O499" s="288"/>
      <c r="P499" s="288"/>
      <c r="Q499" s="469"/>
    </row>
    <row r="500" spans="1:17" s="222" customFormat="1" x14ac:dyDescent="0.2">
      <c r="A500" s="259">
        <f>A498+1</f>
        <v>8</v>
      </c>
      <c r="C500" s="222" t="s">
        <v>151</v>
      </c>
      <c r="D500" s="783">
        <v>0</v>
      </c>
      <c r="E500" s="510">
        <v>0</v>
      </c>
      <c r="F500" s="510">
        <v>0</v>
      </c>
      <c r="G500" s="510">
        <v>0</v>
      </c>
      <c r="H500" s="510">
        <v>0</v>
      </c>
      <c r="I500" s="510">
        <v>0</v>
      </c>
      <c r="J500" s="510">
        <v>0</v>
      </c>
      <c r="K500" s="510">
        <v>0</v>
      </c>
      <c r="L500" s="510">
        <v>0</v>
      </c>
      <c r="M500" s="510">
        <v>0</v>
      </c>
      <c r="N500" s="510">
        <v>0</v>
      </c>
      <c r="O500" s="510">
        <v>0</v>
      </c>
      <c r="P500" s="510">
        <v>0</v>
      </c>
      <c r="Q500" s="427">
        <f>SUM(E500:P500)</f>
        <v>0</v>
      </c>
    </row>
    <row r="501" spans="1:17" s="222" customFormat="1" x14ac:dyDescent="0.2">
      <c r="A501" s="259"/>
      <c r="D501" s="286"/>
      <c r="F501" s="288"/>
      <c r="G501" s="469"/>
      <c r="H501" s="288"/>
      <c r="I501" s="293"/>
      <c r="J501" s="288"/>
      <c r="K501" s="288"/>
      <c r="L501" s="288"/>
      <c r="M501" s="288"/>
      <c r="N501" s="288"/>
      <c r="O501" s="288"/>
      <c r="P501" s="288"/>
    </row>
    <row r="502" spans="1:17" s="222" customFormat="1" ht="10.8" thickBot="1" x14ac:dyDescent="0.25">
      <c r="A502" s="717">
        <f>A500+1</f>
        <v>9</v>
      </c>
      <c r="B502" s="489"/>
      <c r="C502" s="718" t="s">
        <v>205</v>
      </c>
      <c r="D502" s="719"/>
      <c r="E502" s="492">
        <f t="shared" ref="E502:P502" si="188">E498+E500</f>
        <v>0</v>
      </c>
      <c r="F502" s="492">
        <f t="shared" si="188"/>
        <v>0</v>
      </c>
      <c r="G502" s="492">
        <f t="shared" si="188"/>
        <v>0</v>
      </c>
      <c r="H502" s="492">
        <f t="shared" si="188"/>
        <v>0</v>
      </c>
      <c r="I502" s="492">
        <f t="shared" si="188"/>
        <v>0</v>
      </c>
      <c r="J502" s="492">
        <f t="shared" si="188"/>
        <v>0</v>
      </c>
      <c r="K502" s="492">
        <f t="shared" si="188"/>
        <v>0</v>
      </c>
      <c r="L502" s="492">
        <f t="shared" si="188"/>
        <v>0</v>
      </c>
      <c r="M502" s="492">
        <f t="shared" si="188"/>
        <v>0</v>
      </c>
      <c r="N502" s="492">
        <f t="shared" si="188"/>
        <v>0</v>
      </c>
      <c r="O502" s="492">
        <f t="shared" si="188"/>
        <v>0</v>
      </c>
      <c r="P502" s="492">
        <f t="shared" si="188"/>
        <v>0</v>
      </c>
      <c r="Q502" s="492">
        <f>SUM(E502:P502)</f>
        <v>0</v>
      </c>
    </row>
    <row r="503" spans="1:17" s="222" customFormat="1" ht="10.8" thickTop="1" x14ac:dyDescent="0.2">
      <c r="A503" s="259"/>
      <c r="D503" s="286"/>
      <c r="E503" s="482"/>
      <c r="F503" s="482"/>
      <c r="G503" s="482"/>
      <c r="H503" s="482"/>
      <c r="I503" s="482"/>
      <c r="J503" s="482"/>
      <c r="K503" s="482"/>
      <c r="L503" s="482"/>
      <c r="M503" s="482"/>
      <c r="N503" s="482"/>
      <c r="O503" s="482"/>
      <c r="P503" s="482"/>
      <c r="Q503" s="482"/>
    </row>
    <row r="504" spans="1:17" s="222" customFormat="1" x14ac:dyDescent="0.2">
      <c r="A504" s="259"/>
      <c r="D504" s="286"/>
      <c r="E504" s="482"/>
      <c r="F504" s="482"/>
      <c r="G504" s="482"/>
      <c r="H504" s="482"/>
      <c r="I504" s="482"/>
      <c r="J504" s="482"/>
      <c r="K504" s="482"/>
      <c r="L504" s="482"/>
      <c r="M504" s="482"/>
      <c r="N504" s="482"/>
      <c r="O504" s="482"/>
      <c r="P504" s="482"/>
      <c r="Q504" s="482"/>
    </row>
    <row r="505" spans="1:17" s="222" customFormat="1" x14ac:dyDescent="0.2">
      <c r="A505" s="622" t="str">
        <f>$A$265</f>
        <v>[1] Reflects Normalized Volumes.</v>
      </c>
      <c r="D505" s="286"/>
      <c r="F505" s="288"/>
      <c r="G505" s="469"/>
      <c r="H505" s="288"/>
      <c r="I505" s="293"/>
      <c r="J505" s="288"/>
      <c r="K505" s="288"/>
      <c r="L505" s="288"/>
      <c r="M505" s="288"/>
      <c r="N505" s="288"/>
      <c r="O505" s="288"/>
      <c r="P505" s="288"/>
    </row>
    <row r="506" spans="1:17" s="222" customFormat="1" x14ac:dyDescent="0.2">
      <c r="A506" s="622" t="str">
        <f>$A$437</f>
        <v>[2] Reflects Gas Cost Adjustment Rate as of March 1, 2016.</v>
      </c>
      <c r="D506" s="286"/>
      <c r="F506" s="288"/>
      <c r="G506" s="469"/>
      <c r="H506" s="288"/>
      <c r="I506" s="293"/>
      <c r="J506" s="288"/>
      <c r="K506" s="288"/>
      <c r="L506" s="288"/>
      <c r="M506" s="288"/>
      <c r="N506" s="288"/>
      <c r="O506" s="288"/>
      <c r="P506" s="288"/>
    </row>
    <row r="507" spans="1:17" s="222" customFormat="1" x14ac:dyDescent="0.2">
      <c r="A507" s="995" t="str">
        <f>CONAME</f>
        <v>Columbia Gas of Kentucky, Inc.</v>
      </c>
      <c r="B507" s="995"/>
      <c r="C507" s="995"/>
      <c r="D507" s="995"/>
      <c r="E507" s="995"/>
      <c r="F507" s="995"/>
      <c r="G507" s="995"/>
      <c r="H507" s="995"/>
      <c r="I507" s="995"/>
      <c r="J507" s="995"/>
      <c r="K507" s="995"/>
      <c r="L507" s="995"/>
      <c r="M507" s="995"/>
      <c r="N507" s="995"/>
      <c r="O507" s="995"/>
      <c r="P507" s="995"/>
      <c r="Q507" s="995"/>
    </row>
    <row r="508" spans="1:17" s="222" customFormat="1" x14ac:dyDescent="0.2">
      <c r="A508" s="978" t="str">
        <f>case</f>
        <v>Case No. 2016-00162</v>
      </c>
      <c r="B508" s="978"/>
      <c r="C508" s="978"/>
      <c r="D508" s="978"/>
      <c r="E508" s="978"/>
      <c r="F508" s="978"/>
      <c r="G508" s="978"/>
      <c r="H508" s="978"/>
      <c r="I508" s="978"/>
      <c r="J508" s="978"/>
      <c r="K508" s="978"/>
      <c r="L508" s="978"/>
      <c r="M508" s="978"/>
      <c r="N508" s="978"/>
      <c r="O508" s="978"/>
      <c r="P508" s="978"/>
      <c r="Q508" s="978"/>
    </row>
    <row r="509" spans="1:17" s="222" customFormat="1" x14ac:dyDescent="0.2">
      <c r="A509" s="996" t="s">
        <v>200</v>
      </c>
      <c r="B509" s="996"/>
      <c r="C509" s="996"/>
      <c r="D509" s="996"/>
      <c r="E509" s="996"/>
      <c r="F509" s="996"/>
      <c r="G509" s="996"/>
      <c r="H509" s="996"/>
      <c r="I509" s="996"/>
      <c r="J509" s="996"/>
      <c r="K509" s="996"/>
      <c r="L509" s="996"/>
      <c r="M509" s="996"/>
      <c r="N509" s="996"/>
      <c r="O509" s="996"/>
      <c r="P509" s="996"/>
      <c r="Q509" s="996"/>
    </row>
    <row r="510" spans="1:17" s="222" customFormat="1" x14ac:dyDescent="0.2">
      <c r="A510" s="995" t="str">
        <f>TYDESC</f>
        <v>For the 12 Months Ended December 31, 2017</v>
      </c>
      <c r="B510" s="995"/>
      <c r="C510" s="995"/>
      <c r="D510" s="995"/>
      <c r="E510" s="995"/>
      <c r="F510" s="995"/>
      <c r="G510" s="995"/>
      <c r="H510" s="995"/>
      <c r="I510" s="995"/>
      <c r="J510" s="995"/>
      <c r="K510" s="995"/>
      <c r="L510" s="995"/>
      <c r="M510" s="995"/>
      <c r="N510" s="995"/>
      <c r="O510" s="995"/>
      <c r="P510" s="995"/>
      <c r="Q510" s="995"/>
    </row>
    <row r="511" spans="1:17" s="222" customFormat="1" x14ac:dyDescent="0.2">
      <c r="A511" s="997" t="s">
        <v>39</v>
      </c>
      <c r="B511" s="997"/>
      <c r="C511" s="997"/>
      <c r="D511" s="997"/>
      <c r="E511" s="997"/>
      <c r="F511" s="997"/>
      <c r="G511" s="997"/>
      <c r="H511" s="997"/>
      <c r="I511" s="997"/>
      <c r="J511" s="997"/>
      <c r="K511" s="997"/>
      <c r="L511" s="997"/>
      <c r="M511" s="997"/>
      <c r="N511" s="997"/>
      <c r="O511" s="997"/>
      <c r="P511" s="997"/>
      <c r="Q511" s="997"/>
    </row>
    <row r="512" spans="1:17" s="222" customFormat="1" x14ac:dyDescent="0.2">
      <c r="A512" s="711" t="str">
        <f>$A$52</f>
        <v>Data: __ Base Period _X_ Forecasted Period</v>
      </c>
      <c r="D512" s="286"/>
      <c r="F512" s="288"/>
      <c r="G512" s="469"/>
      <c r="H512" s="288"/>
      <c r="I512" s="293"/>
      <c r="J512" s="288"/>
      <c r="K512" s="288"/>
      <c r="L512" s="288"/>
      <c r="M512" s="288"/>
      <c r="N512" s="288"/>
      <c r="O512" s="288"/>
      <c r="P512" s="288"/>
    </row>
    <row r="513" spans="1:17" s="222" customFormat="1" x14ac:dyDescent="0.2">
      <c r="A513" s="711" t="str">
        <f>$A$53</f>
        <v>Type of Filing: X Original _ Update _ Revised</v>
      </c>
      <c r="D513" s="286"/>
      <c r="F513" s="288"/>
      <c r="G513" s="469"/>
      <c r="H513" s="288"/>
      <c r="I513" s="293"/>
      <c r="J513" s="288"/>
      <c r="K513" s="288"/>
      <c r="L513" s="288"/>
      <c r="M513" s="288"/>
      <c r="N513" s="288"/>
      <c r="O513" s="288"/>
      <c r="P513" s="288"/>
      <c r="Q513" s="720" t="str">
        <f>$Q$53</f>
        <v>Schedule M-2.3</v>
      </c>
    </row>
    <row r="514" spans="1:17" s="222" customFormat="1" x14ac:dyDescent="0.2">
      <c r="A514" s="711" t="str">
        <f>$A$54</f>
        <v>Work Paper Reference No(s):</v>
      </c>
      <c r="D514" s="286"/>
      <c r="F514" s="288"/>
      <c r="G514" s="469"/>
      <c r="H514" s="288"/>
      <c r="I514" s="293"/>
      <c r="J514" s="288"/>
      <c r="K514" s="288"/>
      <c r="L514" s="288"/>
      <c r="M514" s="288"/>
      <c r="N514" s="288"/>
      <c r="O514" s="288"/>
      <c r="P514" s="288"/>
      <c r="Q514" s="720" t="s">
        <v>502</v>
      </c>
    </row>
    <row r="515" spans="1:17" s="222" customFormat="1" x14ac:dyDescent="0.2">
      <c r="A515" s="712" t="str">
        <f>$A$55</f>
        <v>12 Months Forecasted</v>
      </c>
      <c r="D515" s="286"/>
      <c r="F515" s="288"/>
      <c r="G515" s="469"/>
      <c r="H515" s="288"/>
      <c r="I515" s="293"/>
      <c r="J515" s="288"/>
      <c r="K515" s="288"/>
      <c r="L515" s="288"/>
      <c r="M515" s="288"/>
      <c r="N515" s="288"/>
      <c r="O515" s="288"/>
      <c r="P515" s="288"/>
      <c r="Q515" s="720" t="str">
        <f>Witness</f>
        <v>Witness:  M. J. Bell</v>
      </c>
    </row>
    <row r="516" spans="1:17" s="222" customFormat="1" x14ac:dyDescent="0.2">
      <c r="A516" s="998" t="s">
        <v>293</v>
      </c>
      <c r="B516" s="998"/>
      <c r="C516" s="998"/>
      <c r="D516" s="998"/>
      <c r="E516" s="998"/>
      <c r="F516" s="998"/>
      <c r="G516" s="998"/>
      <c r="H516" s="998"/>
      <c r="I516" s="998"/>
      <c r="J516" s="998"/>
      <c r="K516" s="998"/>
      <c r="L516" s="998"/>
      <c r="M516" s="998"/>
      <c r="N516" s="998"/>
      <c r="O516" s="998"/>
      <c r="P516" s="998"/>
      <c r="Q516" s="998"/>
    </row>
    <row r="517" spans="1:17" s="222" customFormat="1" x14ac:dyDescent="0.2">
      <c r="A517" s="225"/>
      <c r="B517" s="302"/>
      <c r="C517" s="302"/>
      <c r="D517" s="304"/>
      <c r="E517" s="302"/>
      <c r="F517" s="495"/>
      <c r="G517" s="496"/>
      <c r="H517" s="495"/>
      <c r="I517" s="497"/>
      <c r="J517" s="495"/>
      <c r="K517" s="495"/>
      <c r="L517" s="495"/>
      <c r="M517" s="495"/>
      <c r="N517" s="495"/>
      <c r="O517" s="495"/>
      <c r="P517" s="495"/>
      <c r="Q517" s="302"/>
    </row>
    <row r="518" spans="1:17" s="222" customFormat="1" x14ac:dyDescent="0.2">
      <c r="A518" s="410" t="s">
        <v>1</v>
      </c>
      <c r="B518" s="410" t="s">
        <v>0</v>
      </c>
      <c r="C518" s="410" t="s">
        <v>41</v>
      </c>
      <c r="D518" s="416" t="s">
        <v>30</v>
      </c>
      <c r="E518" s="410"/>
      <c r="F518" s="722"/>
      <c r="G518" s="725"/>
      <c r="H518" s="722"/>
      <c r="I518" s="726"/>
      <c r="J518" s="722"/>
      <c r="K518" s="722"/>
      <c r="L518" s="722"/>
      <c r="M518" s="722"/>
      <c r="N518" s="722"/>
      <c r="O518" s="722"/>
      <c r="P518" s="722"/>
      <c r="Q518" s="230"/>
    </row>
    <row r="519" spans="1:17" s="222" customFormat="1" x14ac:dyDescent="0.2">
      <c r="A519" s="281" t="s">
        <v>3</v>
      </c>
      <c r="B519" s="281" t="s">
        <v>40</v>
      </c>
      <c r="C519" s="281" t="s">
        <v>4</v>
      </c>
      <c r="D519" s="420" t="s">
        <v>48</v>
      </c>
      <c r="E519" s="421" t="str">
        <f>B!$D$11</f>
        <v>Jan-17</v>
      </c>
      <c r="F519" s="421" t="str">
        <f>B!$E$11</f>
        <v>Feb-17</v>
      </c>
      <c r="G519" s="421" t="str">
        <f>B!$F$11</f>
        <v>Mar-17</v>
      </c>
      <c r="H519" s="421" t="str">
        <f>B!$G$11</f>
        <v>Apr-17</v>
      </c>
      <c r="I519" s="421" t="str">
        <f>B!$H$11</f>
        <v>May-17</v>
      </c>
      <c r="J519" s="421" t="str">
        <f>B!$I$11</f>
        <v>Jun-17</v>
      </c>
      <c r="K519" s="421" t="str">
        <f>B!$J$11</f>
        <v>Jul-17</v>
      </c>
      <c r="L519" s="421" t="str">
        <f>B!$K$11</f>
        <v>Aug-17</v>
      </c>
      <c r="M519" s="421" t="str">
        <f>B!$L$11</f>
        <v>Sep-17</v>
      </c>
      <c r="N519" s="421" t="str">
        <f>B!$M$11</f>
        <v>Oct-17</v>
      </c>
      <c r="O519" s="421" t="str">
        <f>B!$N$11</f>
        <v>Nov-17</v>
      </c>
      <c r="P519" s="421" t="str">
        <f>B!$O$11</f>
        <v>Dec-17</v>
      </c>
      <c r="Q519" s="421" t="s">
        <v>9</v>
      </c>
    </row>
    <row r="520" spans="1:17" s="222" customFormat="1" x14ac:dyDescent="0.2">
      <c r="A520" s="410"/>
      <c r="B520" s="229" t="s">
        <v>42</v>
      </c>
      <c r="C520" s="229" t="s">
        <v>43</v>
      </c>
      <c r="D520" s="423" t="s">
        <v>45</v>
      </c>
      <c r="E520" s="424" t="s">
        <v>46</v>
      </c>
      <c r="F520" s="424" t="s">
        <v>49</v>
      </c>
      <c r="G520" s="424" t="s">
        <v>50</v>
      </c>
      <c r="H520" s="424" t="s">
        <v>51</v>
      </c>
      <c r="I520" s="424" t="s">
        <v>52</v>
      </c>
      <c r="J520" s="425" t="s">
        <v>53</v>
      </c>
      <c r="K520" s="425" t="s">
        <v>54</v>
      </c>
      <c r="L520" s="425" t="s">
        <v>55</v>
      </c>
      <c r="M520" s="425" t="s">
        <v>56</v>
      </c>
      <c r="N520" s="425" t="s">
        <v>57</v>
      </c>
      <c r="O520" s="425" t="s">
        <v>58</v>
      </c>
      <c r="P520" s="425" t="s">
        <v>59</v>
      </c>
      <c r="Q520" s="425" t="s">
        <v>203</v>
      </c>
    </row>
    <row r="521" spans="1:17" s="222" customFormat="1" x14ac:dyDescent="0.2">
      <c r="A521" s="259"/>
      <c r="D521" s="286"/>
      <c r="E521" s="230"/>
      <c r="F521" s="727"/>
      <c r="G521" s="723"/>
      <c r="H521" s="727"/>
      <c r="I521" s="724"/>
      <c r="J521" s="727"/>
      <c r="K521" s="727"/>
      <c r="L521" s="727"/>
      <c r="M521" s="727"/>
      <c r="N521" s="727"/>
      <c r="O521" s="727"/>
      <c r="P521" s="727"/>
      <c r="Q521" s="230"/>
    </row>
    <row r="522" spans="1:17" s="222" customFormat="1" x14ac:dyDescent="0.2">
      <c r="A522" s="259">
        <v>1</v>
      </c>
      <c r="B522" s="222" t="str">
        <f>B99</f>
        <v>IN5</v>
      </c>
      <c r="C522" s="222" t="str">
        <f>C99</f>
        <v>Inland Gas General Service - Residential</v>
      </c>
      <c r="D522" s="286"/>
      <c r="F522" s="288"/>
      <c r="G522" s="469"/>
      <c r="H522" s="288"/>
      <c r="I522" s="293"/>
      <c r="J522" s="288"/>
      <c r="K522" s="288"/>
      <c r="L522" s="288"/>
      <c r="M522" s="288"/>
      <c r="N522" s="288"/>
      <c r="O522" s="288"/>
      <c r="P522" s="288"/>
    </row>
    <row r="523" spans="1:17" s="222" customFormat="1" x14ac:dyDescent="0.2">
      <c r="A523" s="259"/>
      <c r="D523" s="286"/>
      <c r="F523" s="288"/>
      <c r="G523" s="469"/>
      <c r="H523" s="288"/>
      <c r="I523" s="293"/>
      <c r="J523" s="288"/>
      <c r="K523" s="288"/>
      <c r="L523" s="288"/>
      <c r="M523" s="288"/>
      <c r="N523" s="288"/>
      <c r="O523" s="288"/>
      <c r="P523" s="288"/>
    </row>
    <row r="524" spans="1:17" s="222" customFormat="1" x14ac:dyDescent="0.2">
      <c r="A524" s="259">
        <f>A522+1</f>
        <v>2</v>
      </c>
      <c r="C524" s="262" t="s">
        <v>109</v>
      </c>
      <c r="D524" s="286"/>
      <c r="F524" s="288"/>
      <c r="G524" s="469"/>
      <c r="H524" s="288"/>
      <c r="I524" s="293"/>
      <c r="J524" s="288"/>
      <c r="K524" s="288"/>
      <c r="L524" s="288"/>
      <c r="M524" s="288"/>
      <c r="N524" s="288"/>
      <c r="O524" s="288"/>
      <c r="P524" s="288"/>
    </row>
    <row r="525" spans="1:17" s="222" customFormat="1" x14ac:dyDescent="0.2">
      <c r="A525" s="259"/>
      <c r="D525" s="286"/>
      <c r="F525" s="288"/>
      <c r="G525" s="469"/>
      <c r="H525" s="288"/>
      <c r="I525" s="293"/>
      <c r="J525" s="288"/>
      <c r="K525" s="288"/>
      <c r="L525" s="288"/>
      <c r="M525" s="288"/>
      <c r="N525" s="288"/>
      <c r="O525" s="288"/>
      <c r="P525" s="288"/>
    </row>
    <row r="526" spans="1:17" s="222" customFormat="1" x14ac:dyDescent="0.2">
      <c r="A526" s="259">
        <f>A524+1</f>
        <v>3</v>
      </c>
      <c r="C526" s="222" t="s">
        <v>202</v>
      </c>
      <c r="D526" s="286"/>
      <c r="E526" s="472">
        <f>B!D42</f>
        <v>3</v>
      </c>
      <c r="F526" s="472">
        <f>B!E42</f>
        <v>3</v>
      </c>
      <c r="G526" s="472">
        <f>B!F42</f>
        <v>3</v>
      </c>
      <c r="H526" s="472">
        <f>B!G42</f>
        <v>3</v>
      </c>
      <c r="I526" s="472">
        <f>B!H42</f>
        <v>3</v>
      </c>
      <c r="J526" s="472">
        <f>B!I42</f>
        <v>3</v>
      </c>
      <c r="K526" s="472">
        <f>B!J42</f>
        <v>3</v>
      </c>
      <c r="L526" s="472">
        <f>B!K42</f>
        <v>3</v>
      </c>
      <c r="M526" s="472">
        <f>B!L42</f>
        <v>3</v>
      </c>
      <c r="N526" s="472">
        <f>B!M42</f>
        <v>3</v>
      </c>
      <c r="O526" s="472">
        <f>B!N42</f>
        <v>3</v>
      </c>
      <c r="P526" s="472">
        <f>B!O42</f>
        <v>3</v>
      </c>
      <c r="Q526" s="528">
        <f>SUM(E526:P526)</f>
        <v>36</v>
      </c>
    </row>
    <row r="527" spans="1:17" s="222" customFormat="1" x14ac:dyDescent="0.2">
      <c r="A527" s="259">
        <f>A526+1</f>
        <v>4</v>
      </c>
      <c r="C527" s="222" t="s">
        <v>210</v>
      </c>
      <c r="D527" s="781">
        <f>Input!U25</f>
        <v>0</v>
      </c>
      <c r="E527" s="427">
        <f t="shared" ref="E527:P527" si="189">ROUND(E526*$D$493,2)</f>
        <v>0</v>
      </c>
      <c r="F527" s="427">
        <f t="shared" si="189"/>
        <v>0</v>
      </c>
      <c r="G527" s="427">
        <f t="shared" si="189"/>
        <v>0</v>
      </c>
      <c r="H527" s="427">
        <f t="shared" si="189"/>
        <v>0</v>
      </c>
      <c r="I527" s="427">
        <f t="shared" si="189"/>
        <v>0</v>
      </c>
      <c r="J527" s="427">
        <f t="shared" si="189"/>
        <v>0</v>
      </c>
      <c r="K527" s="427">
        <f t="shared" si="189"/>
        <v>0</v>
      </c>
      <c r="L527" s="427">
        <f t="shared" si="189"/>
        <v>0</v>
      </c>
      <c r="M527" s="427">
        <f t="shared" si="189"/>
        <v>0</v>
      </c>
      <c r="N527" s="427">
        <f t="shared" si="189"/>
        <v>0</v>
      </c>
      <c r="O527" s="427">
        <f t="shared" si="189"/>
        <v>0</v>
      </c>
      <c r="P527" s="427">
        <f t="shared" si="189"/>
        <v>0</v>
      </c>
      <c r="Q527" s="427">
        <f>SUM(E527:P527)</f>
        <v>0</v>
      </c>
    </row>
    <row r="528" spans="1:17" s="222" customFormat="1" x14ac:dyDescent="0.2">
      <c r="A528" s="259"/>
      <c r="D528" s="286"/>
      <c r="E528" s="514"/>
      <c r="F528" s="288"/>
      <c r="G528" s="469"/>
      <c r="H528" s="288"/>
      <c r="I528" s="293"/>
      <c r="J528" s="507"/>
      <c r="K528" s="288"/>
      <c r="L528" s="288"/>
      <c r="M528" s="288"/>
      <c r="N528" s="288"/>
      <c r="O528" s="288"/>
      <c r="P528" s="288"/>
    </row>
    <row r="529" spans="1:17" s="222" customFormat="1" x14ac:dyDescent="0.2">
      <c r="A529" s="259">
        <f>A527+1</f>
        <v>5</v>
      </c>
      <c r="C529" s="286" t="s">
        <v>209</v>
      </c>
      <c r="D529" s="512"/>
      <c r="E529" s="476">
        <f>'C'!D42</f>
        <v>84.3</v>
      </c>
      <c r="F529" s="476">
        <f>'C'!E42</f>
        <v>54.6</v>
      </c>
      <c r="G529" s="476">
        <f>'C'!F42</f>
        <v>43.5</v>
      </c>
      <c r="H529" s="476">
        <f>'C'!G42</f>
        <v>25.4</v>
      </c>
      <c r="I529" s="476">
        <f>'C'!H42</f>
        <v>12.3</v>
      </c>
      <c r="J529" s="476">
        <f>'C'!I42</f>
        <v>4.9000000000000004</v>
      </c>
      <c r="K529" s="476">
        <f>'C'!J42</f>
        <v>2.4</v>
      </c>
      <c r="L529" s="476">
        <f>'C'!K42</f>
        <v>2.9</v>
      </c>
      <c r="M529" s="476">
        <f>'C'!L42</f>
        <v>4.3</v>
      </c>
      <c r="N529" s="476">
        <f>'C'!M42</f>
        <v>14.9</v>
      </c>
      <c r="O529" s="476">
        <f>'C'!N42</f>
        <v>32.1</v>
      </c>
      <c r="P529" s="476">
        <f>'C'!O42</f>
        <v>52</v>
      </c>
      <c r="Q529" s="728">
        <f>SUM(E529:P529)</f>
        <v>333.60000000000008</v>
      </c>
    </row>
    <row r="530" spans="1:17" s="222" customFormat="1" x14ac:dyDescent="0.2">
      <c r="A530" s="259">
        <f>A529+1</f>
        <v>6</v>
      </c>
      <c r="C530" s="222" t="s">
        <v>212</v>
      </c>
      <c r="D530" s="782">
        <f>Input!P25</f>
        <v>0.6</v>
      </c>
      <c r="E530" s="427">
        <f t="shared" ref="E530:P530" si="190">ROUND(E529*$D$530,2)</f>
        <v>50.58</v>
      </c>
      <c r="F530" s="427">
        <f t="shared" si="190"/>
        <v>32.76</v>
      </c>
      <c r="G530" s="427">
        <f t="shared" si="190"/>
        <v>26.1</v>
      </c>
      <c r="H530" s="427">
        <f t="shared" si="190"/>
        <v>15.24</v>
      </c>
      <c r="I530" s="427">
        <f t="shared" si="190"/>
        <v>7.38</v>
      </c>
      <c r="J530" s="427">
        <f t="shared" si="190"/>
        <v>2.94</v>
      </c>
      <c r="K530" s="427">
        <f t="shared" si="190"/>
        <v>1.44</v>
      </c>
      <c r="L530" s="427">
        <f t="shared" si="190"/>
        <v>1.74</v>
      </c>
      <c r="M530" s="427">
        <f t="shared" si="190"/>
        <v>2.58</v>
      </c>
      <c r="N530" s="427">
        <f t="shared" si="190"/>
        <v>8.94</v>
      </c>
      <c r="O530" s="427">
        <f t="shared" si="190"/>
        <v>19.260000000000002</v>
      </c>
      <c r="P530" s="427">
        <f t="shared" si="190"/>
        <v>31.2</v>
      </c>
      <c r="Q530" s="427">
        <f>SUM(E530:P530)</f>
        <v>200.16</v>
      </c>
    </row>
    <row r="531" spans="1:17" s="222" customFormat="1" x14ac:dyDescent="0.2">
      <c r="A531" s="259"/>
      <c r="D531" s="286"/>
      <c r="F531" s="288"/>
      <c r="G531" s="469"/>
      <c r="H531" s="288"/>
      <c r="I531" s="293"/>
      <c r="J531" s="288"/>
      <c r="K531" s="288"/>
      <c r="L531" s="288"/>
      <c r="M531" s="288"/>
      <c r="N531" s="288"/>
      <c r="O531" s="288"/>
      <c r="P531" s="288"/>
      <c r="Q531" s="536"/>
    </row>
    <row r="532" spans="1:17" s="222" customFormat="1" x14ac:dyDescent="0.2">
      <c r="A532" s="259">
        <f>A530+1</f>
        <v>7</v>
      </c>
      <c r="C532" s="222" t="s">
        <v>204</v>
      </c>
      <c r="D532" s="286"/>
      <c r="E532" s="427">
        <f t="shared" ref="E532:P532" si="191">E527+E530</f>
        <v>50.58</v>
      </c>
      <c r="F532" s="427">
        <f t="shared" si="191"/>
        <v>32.76</v>
      </c>
      <c r="G532" s="427">
        <f t="shared" si="191"/>
        <v>26.1</v>
      </c>
      <c r="H532" s="427">
        <f t="shared" si="191"/>
        <v>15.24</v>
      </c>
      <c r="I532" s="427">
        <f t="shared" si="191"/>
        <v>7.38</v>
      </c>
      <c r="J532" s="427">
        <f t="shared" si="191"/>
        <v>2.94</v>
      </c>
      <c r="K532" s="427">
        <f t="shared" si="191"/>
        <v>1.44</v>
      </c>
      <c r="L532" s="427">
        <f t="shared" si="191"/>
        <v>1.74</v>
      </c>
      <c r="M532" s="427">
        <f t="shared" si="191"/>
        <v>2.58</v>
      </c>
      <c r="N532" s="427">
        <f t="shared" si="191"/>
        <v>8.94</v>
      </c>
      <c r="O532" s="427">
        <f t="shared" si="191"/>
        <v>19.260000000000002</v>
      </c>
      <c r="P532" s="427">
        <f t="shared" si="191"/>
        <v>31.2</v>
      </c>
      <c r="Q532" s="427">
        <f>SUM(E532:P532)</f>
        <v>200.16</v>
      </c>
    </row>
    <row r="533" spans="1:17" s="222" customFormat="1" x14ac:dyDescent="0.2">
      <c r="A533" s="259"/>
      <c r="D533" s="286"/>
      <c r="F533" s="288"/>
      <c r="G533" s="469"/>
      <c r="H533" s="288"/>
      <c r="I533" s="293"/>
      <c r="J533" s="288"/>
      <c r="K533" s="288"/>
      <c r="L533" s="288"/>
      <c r="M533" s="288"/>
      <c r="N533" s="288"/>
      <c r="O533" s="288"/>
      <c r="P533" s="288"/>
      <c r="Q533" s="469"/>
    </row>
    <row r="534" spans="1:17" s="222" customFormat="1" x14ac:dyDescent="0.2">
      <c r="A534" s="259">
        <f>A532+1</f>
        <v>8</v>
      </c>
      <c r="C534" s="222" t="s">
        <v>151</v>
      </c>
      <c r="D534" s="783">
        <v>0</v>
      </c>
      <c r="E534" s="510">
        <v>0</v>
      </c>
      <c r="F534" s="510">
        <v>0</v>
      </c>
      <c r="G534" s="510">
        <v>0</v>
      </c>
      <c r="H534" s="510">
        <v>0</v>
      </c>
      <c r="I534" s="510">
        <v>0</v>
      </c>
      <c r="J534" s="510">
        <v>0</v>
      </c>
      <c r="K534" s="510">
        <v>0</v>
      </c>
      <c r="L534" s="510">
        <v>0</v>
      </c>
      <c r="M534" s="510">
        <v>0</v>
      </c>
      <c r="N534" s="510">
        <v>0</v>
      </c>
      <c r="O534" s="510">
        <v>0</v>
      </c>
      <c r="P534" s="510">
        <v>0</v>
      </c>
      <c r="Q534" s="427">
        <f>SUM(E534:P534)</f>
        <v>0</v>
      </c>
    </row>
    <row r="535" spans="1:17" s="222" customFormat="1" x14ac:dyDescent="0.2">
      <c r="A535" s="259"/>
      <c r="D535" s="286"/>
      <c r="F535" s="288"/>
      <c r="G535" s="469"/>
      <c r="H535" s="288"/>
      <c r="I535" s="293"/>
      <c r="J535" s="288"/>
      <c r="K535" s="288"/>
      <c r="L535" s="288"/>
      <c r="M535" s="288"/>
      <c r="N535" s="288"/>
      <c r="O535" s="288"/>
      <c r="P535" s="288"/>
    </row>
    <row r="536" spans="1:17" s="222" customFormat="1" ht="10.8" thickBot="1" x14ac:dyDescent="0.25">
      <c r="A536" s="717">
        <f>A534+1</f>
        <v>9</v>
      </c>
      <c r="B536" s="489"/>
      <c r="C536" s="718" t="s">
        <v>205</v>
      </c>
      <c r="D536" s="719"/>
      <c r="E536" s="492">
        <f t="shared" ref="E536:P536" si="192">E532+E534</f>
        <v>50.58</v>
      </c>
      <c r="F536" s="492">
        <f t="shared" si="192"/>
        <v>32.76</v>
      </c>
      <c r="G536" s="492">
        <f t="shared" si="192"/>
        <v>26.1</v>
      </c>
      <c r="H536" s="492">
        <f t="shared" si="192"/>
        <v>15.24</v>
      </c>
      <c r="I536" s="492">
        <f t="shared" si="192"/>
        <v>7.38</v>
      </c>
      <c r="J536" s="492">
        <f t="shared" si="192"/>
        <v>2.94</v>
      </c>
      <c r="K536" s="492">
        <f t="shared" si="192"/>
        <v>1.44</v>
      </c>
      <c r="L536" s="492">
        <f t="shared" si="192"/>
        <v>1.74</v>
      </c>
      <c r="M536" s="492">
        <f t="shared" si="192"/>
        <v>2.58</v>
      </c>
      <c r="N536" s="492">
        <f t="shared" si="192"/>
        <v>8.94</v>
      </c>
      <c r="O536" s="492">
        <f t="shared" si="192"/>
        <v>19.260000000000002</v>
      </c>
      <c r="P536" s="492">
        <f t="shared" si="192"/>
        <v>31.2</v>
      </c>
      <c r="Q536" s="492">
        <f>SUM(E536:P536)</f>
        <v>200.16</v>
      </c>
    </row>
    <row r="537" spans="1:17" s="222" customFormat="1" ht="10.8" thickTop="1" x14ac:dyDescent="0.2">
      <c r="A537" s="259"/>
      <c r="D537" s="286"/>
      <c r="F537" s="288"/>
      <c r="G537" s="469"/>
      <c r="H537" s="288"/>
      <c r="I537" s="293"/>
      <c r="J537" s="288"/>
      <c r="K537" s="288"/>
      <c r="L537" s="288"/>
      <c r="M537" s="288"/>
      <c r="N537" s="288"/>
      <c r="O537" s="288"/>
      <c r="P537" s="288"/>
      <c r="Q537" s="469"/>
    </row>
    <row r="538" spans="1:17" s="222" customFormat="1" x14ac:dyDescent="0.2">
      <c r="A538" s="259"/>
      <c r="D538" s="286"/>
      <c r="F538" s="288"/>
      <c r="G538" s="469"/>
      <c r="H538" s="288"/>
      <c r="I538" s="293"/>
      <c r="J538" s="288"/>
      <c r="K538" s="288"/>
      <c r="L538" s="288"/>
      <c r="M538" s="288"/>
      <c r="N538" s="288"/>
      <c r="O538" s="288"/>
      <c r="P538" s="288"/>
      <c r="Q538" s="469"/>
    </row>
    <row r="539" spans="1:17" s="222" customFormat="1" x14ac:dyDescent="0.2">
      <c r="A539" s="259">
        <f>A536+1</f>
        <v>10</v>
      </c>
      <c r="B539" s="222" t="str">
        <f>B126</f>
        <v>LG2</v>
      </c>
      <c r="C539" s="222" t="str">
        <f>C126</f>
        <v xml:space="preserve">LG&amp;E Residential </v>
      </c>
      <c r="D539" s="286"/>
      <c r="F539" s="288"/>
      <c r="G539" s="469"/>
      <c r="H539" s="288"/>
      <c r="I539" s="293"/>
      <c r="J539" s="288"/>
      <c r="K539" s="288"/>
      <c r="L539" s="288"/>
      <c r="M539" s="288"/>
      <c r="N539" s="288"/>
      <c r="O539" s="288"/>
      <c r="P539" s="288"/>
    </row>
    <row r="540" spans="1:17" s="222" customFormat="1" x14ac:dyDescent="0.2">
      <c r="A540" s="259"/>
      <c r="D540" s="286"/>
      <c r="F540" s="288"/>
      <c r="G540" s="469"/>
      <c r="H540" s="288"/>
      <c r="I540" s="293"/>
      <c r="J540" s="288"/>
      <c r="K540" s="288"/>
      <c r="L540" s="288"/>
      <c r="M540" s="288"/>
      <c r="N540" s="288"/>
      <c r="O540" s="288"/>
      <c r="P540" s="288"/>
    </row>
    <row r="541" spans="1:17" s="222" customFormat="1" x14ac:dyDescent="0.2">
      <c r="A541" s="259">
        <f>A539+1</f>
        <v>11</v>
      </c>
      <c r="C541" s="262" t="s">
        <v>109</v>
      </c>
      <c r="D541" s="286"/>
      <c r="F541" s="288"/>
      <c r="G541" s="469"/>
      <c r="H541" s="288"/>
      <c r="I541" s="293"/>
      <c r="J541" s="288"/>
      <c r="K541" s="288"/>
      <c r="L541" s="288"/>
      <c r="M541" s="288"/>
      <c r="N541" s="288"/>
      <c r="O541" s="288"/>
      <c r="P541" s="288"/>
    </row>
    <row r="542" spans="1:17" s="222" customFormat="1" x14ac:dyDescent="0.2">
      <c r="A542" s="259"/>
      <c r="D542" s="286"/>
      <c r="F542" s="288"/>
      <c r="G542" s="469"/>
      <c r="H542" s="288"/>
      <c r="I542" s="293"/>
      <c r="J542" s="288"/>
      <c r="K542" s="288"/>
      <c r="L542" s="288"/>
      <c r="M542" s="288"/>
      <c r="N542" s="288"/>
      <c r="O542" s="288"/>
      <c r="P542" s="288"/>
    </row>
    <row r="543" spans="1:17" s="222" customFormat="1" x14ac:dyDescent="0.2">
      <c r="A543" s="259">
        <f>A541+1</f>
        <v>12</v>
      </c>
      <c r="C543" s="222" t="s">
        <v>202</v>
      </c>
      <c r="D543" s="286"/>
      <c r="E543" s="472">
        <f>B!D47</f>
        <v>1</v>
      </c>
      <c r="F543" s="472">
        <f>B!E47</f>
        <v>1</v>
      </c>
      <c r="G543" s="472">
        <f>B!F47</f>
        <v>1</v>
      </c>
      <c r="H543" s="472">
        <f>B!G47</f>
        <v>1</v>
      </c>
      <c r="I543" s="472">
        <f>B!H47</f>
        <v>1</v>
      </c>
      <c r="J543" s="472">
        <f>B!I47</f>
        <v>1</v>
      </c>
      <c r="K543" s="472">
        <f>B!J47</f>
        <v>1</v>
      </c>
      <c r="L543" s="472">
        <f>B!K47</f>
        <v>1</v>
      </c>
      <c r="M543" s="472">
        <f>B!L47</f>
        <v>1</v>
      </c>
      <c r="N543" s="472">
        <f>B!M47</f>
        <v>1</v>
      </c>
      <c r="O543" s="472">
        <f>B!N47</f>
        <v>1</v>
      </c>
      <c r="P543" s="472">
        <f>B!O47</f>
        <v>1</v>
      </c>
      <c r="Q543" s="528">
        <f>SUM(E543:P543)</f>
        <v>12</v>
      </c>
    </row>
    <row r="544" spans="1:17" s="222" customFormat="1" x14ac:dyDescent="0.2">
      <c r="A544" s="259">
        <f>A543+1</f>
        <v>13</v>
      </c>
      <c r="C544" s="222" t="s">
        <v>210</v>
      </c>
      <c r="D544" s="781">
        <f>Input!U26</f>
        <v>0</v>
      </c>
      <c r="E544" s="427">
        <f t="shared" ref="E544:P544" si="193">ROUND(E543*$D$493,2)</f>
        <v>0</v>
      </c>
      <c r="F544" s="427">
        <f t="shared" si="193"/>
        <v>0</v>
      </c>
      <c r="G544" s="427">
        <f t="shared" si="193"/>
        <v>0</v>
      </c>
      <c r="H544" s="427">
        <f t="shared" si="193"/>
        <v>0</v>
      </c>
      <c r="I544" s="427">
        <f t="shared" si="193"/>
        <v>0</v>
      </c>
      <c r="J544" s="427">
        <f t="shared" si="193"/>
        <v>0</v>
      </c>
      <c r="K544" s="427">
        <f t="shared" si="193"/>
        <v>0</v>
      </c>
      <c r="L544" s="427">
        <f t="shared" si="193"/>
        <v>0</v>
      </c>
      <c r="M544" s="427">
        <f t="shared" si="193"/>
        <v>0</v>
      </c>
      <c r="N544" s="427">
        <f t="shared" si="193"/>
        <v>0</v>
      </c>
      <c r="O544" s="427">
        <f t="shared" si="193"/>
        <v>0</v>
      </c>
      <c r="P544" s="427">
        <f t="shared" si="193"/>
        <v>0</v>
      </c>
      <c r="Q544" s="427">
        <f>SUM(E544:P544)</f>
        <v>0</v>
      </c>
    </row>
    <row r="545" spans="1:17" s="222" customFormat="1" x14ac:dyDescent="0.2">
      <c r="A545" s="259"/>
      <c r="D545" s="286"/>
      <c r="E545" s="514"/>
      <c r="F545" s="288"/>
      <c r="G545" s="469"/>
      <c r="H545" s="288"/>
      <c r="I545" s="293"/>
      <c r="J545" s="507"/>
      <c r="K545" s="288"/>
      <c r="L545" s="288"/>
      <c r="M545" s="288"/>
      <c r="N545" s="288"/>
      <c r="O545" s="288"/>
      <c r="P545" s="288"/>
    </row>
    <row r="546" spans="1:17" s="222" customFormat="1" x14ac:dyDescent="0.2">
      <c r="A546" s="259">
        <f>A544+1</f>
        <v>14</v>
      </c>
      <c r="C546" s="286" t="s">
        <v>209</v>
      </c>
      <c r="D546" s="512"/>
      <c r="E546" s="476">
        <f>'C'!D47</f>
        <v>161.1</v>
      </c>
      <c r="F546" s="476">
        <f>'C'!E47</f>
        <v>142.80000000000001</v>
      </c>
      <c r="G546" s="476">
        <f>'C'!F47</f>
        <v>70.5</v>
      </c>
      <c r="H546" s="476">
        <f>'C'!G47</f>
        <v>36.6</v>
      </c>
      <c r="I546" s="476">
        <f>'C'!H47</f>
        <v>15.2</v>
      </c>
      <c r="J546" s="293">
        <f>'C'!I47</f>
        <v>2.9</v>
      </c>
      <c r="K546" s="293">
        <f>'C'!J47</f>
        <v>3.2</v>
      </c>
      <c r="L546" s="476">
        <f>'C'!K47</f>
        <v>3.4</v>
      </c>
      <c r="M546" s="476">
        <f>'C'!L47</f>
        <v>3.8</v>
      </c>
      <c r="N546" s="476">
        <f>'C'!M47</f>
        <v>19</v>
      </c>
      <c r="O546" s="476">
        <f>'C'!N47</f>
        <v>51.7</v>
      </c>
      <c r="P546" s="476">
        <f>'C'!O47</f>
        <v>95</v>
      </c>
      <c r="Q546" s="728">
        <f>SUM(E546:P546)</f>
        <v>605.19999999999993</v>
      </c>
    </row>
    <row r="547" spans="1:17" s="222" customFormat="1" x14ac:dyDescent="0.2">
      <c r="A547" s="259">
        <f>A546+1</f>
        <v>15</v>
      </c>
      <c r="C547" s="222" t="s">
        <v>212</v>
      </c>
      <c r="D547" s="782">
        <f>Input!P26</f>
        <v>0.35</v>
      </c>
      <c r="E547" s="427">
        <f t="shared" ref="E547:P547" si="194">ROUND(E546*$D$547,2)</f>
        <v>56.39</v>
      </c>
      <c r="F547" s="427">
        <f t="shared" si="194"/>
        <v>49.98</v>
      </c>
      <c r="G547" s="427">
        <f t="shared" si="194"/>
        <v>24.68</v>
      </c>
      <c r="H547" s="427">
        <f t="shared" si="194"/>
        <v>12.81</v>
      </c>
      <c r="I547" s="427">
        <f t="shared" si="194"/>
        <v>5.32</v>
      </c>
      <c r="J547" s="427">
        <f t="shared" si="194"/>
        <v>1.02</v>
      </c>
      <c r="K547" s="427">
        <f t="shared" si="194"/>
        <v>1.1200000000000001</v>
      </c>
      <c r="L547" s="427">
        <f t="shared" si="194"/>
        <v>1.19</v>
      </c>
      <c r="M547" s="427">
        <f t="shared" si="194"/>
        <v>1.33</v>
      </c>
      <c r="N547" s="427">
        <f t="shared" si="194"/>
        <v>6.65</v>
      </c>
      <c r="O547" s="427">
        <f t="shared" si="194"/>
        <v>18.100000000000001</v>
      </c>
      <c r="P547" s="427">
        <f t="shared" si="194"/>
        <v>33.25</v>
      </c>
      <c r="Q547" s="427">
        <f>SUM(E547:P547)</f>
        <v>211.84000000000003</v>
      </c>
    </row>
    <row r="548" spans="1:17" s="222" customFormat="1" x14ac:dyDescent="0.2">
      <c r="A548" s="259"/>
      <c r="D548" s="286"/>
      <c r="F548" s="288"/>
      <c r="G548" s="469"/>
      <c r="H548" s="288"/>
      <c r="I548" s="293"/>
      <c r="J548" s="288"/>
      <c r="K548" s="288"/>
      <c r="L548" s="288"/>
      <c r="M548" s="288"/>
      <c r="N548" s="288"/>
      <c r="O548" s="288"/>
      <c r="P548" s="288"/>
      <c r="Q548" s="536"/>
    </row>
    <row r="549" spans="1:17" s="222" customFormat="1" x14ac:dyDescent="0.2">
      <c r="A549" s="259">
        <f>A547+1</f>
        <v>16</v>
      </c>
      <c r="C549" s="222" t="s">
        <v>204</v>
      </c>
      <c r="D549" s="286"/>
      <c r="E549" s="427">
        <f t="shared" ref="E549:P549" si="195">E544+E547</f>
        <v>56.39</v>
      </c>
      <c r="F549" s="427">
        <f t="shared" si="195"/>
        <v>49.98</v>
      </c>
      <c r="G549" s="427">
        <f t="shared" si="195"/>
        <v>24.68</v>
      </c>
      <c r="H549" s="427">
        <f t="shared" si="195"/>
        <v>12.81</v>
      </c>
      <c r="I549" s="427">
        <f t="shared" si="195"/>
        <v>5.32</v>
      </c>
      <c r="J549" s="427">
        <f t="shared" si="195"/>
        <v>1.02</v>
      </c>
      <c r="K549" s="427">
        <f t="shared" si="195"/>
        <v>1.1200000000000001</v>
      </c>
      <c r="L549" s="427">
        <f t="shared" si="195"/>
        <v>1.19</v>
      </c>
      <c r="M549" s="427">
        <f t="shared" si="195"/>
        <v>1.33</v>
      </c>
      <c r="N549" s="427">
        <f t="shared" si="195"/>
        <v>6.65</v>
      </c>
      <c r="O549" s="427">
        <f t="shared" si="195"/>
        <v>18.100000000000001</v>
      </c>
      <c r="P549" s="427">
        <f t="shared" si="195"/>
        <v>33.25</v>
      </c>
      <c r="Q549" s="427">
        <f>SUM(E549:P549)</f>
        <v>211.84000000000003</v>
      </c>
    </row>
    <row r="550" spans="1:17" s="222" customFormat="1" x14ac:dyDescent="0.2">
      <c r="A550" s="259"/>
      <c r="D550" s="286"/>
      <c r="F550" s="288"/>
      <c r="G550" s="469"/>
      <c r="H550" s="288"/>
      <c r="I550" s="293"/>
      <c r="J550" s="288"/>
      <c r="K550" s="288"/>
      <c r="L550" s="288"/>
      <c r="M550" s="288"/>
      <c r="N550" s="288"/>
      <c r="O550" s="288"/>
      <c r="P550" s="288"/>
      <c r="Q550" s="469"/>
    </row>
    <row r="551" spans="1:17" s="222" customFormat="1" x14ac:dyDescent="0.2">
      <c r="A551" s="259">
        <f>A549+1</f>
        <v>17</v>
      </c>
      <c r="C551" s="222" t="s">
        <v>151</v>
      </c>
      <c r="D551" s="783">
        <v>0</v>
      </c>
      <c r="E551" s="510">
        <v>0</v>
      </c>
      <c r="F551" s="510">
        <v>0</v>
      </c>
      <c r="G551" s="510">
        <v>0</v>
      </c>
      <c r="H551" s="510">
        <v>0</v>
      </c>
      <c r="I551" s="510">
        <v>0</v>
      </c>
      <c r="J551" s="510">
        <v>0</v>
      </c>
      <c r="K551" s="510">
        <v>0</v>
      </c>
      <c r="L551" s="510">
        <v>0</v>
      </c>
      <c r="M551" s="510">
        <v>0</v>
      </c>
      <c r="N551" s="510">
        <v>0</v>
      </c>
      <c r="O551" s="510">
        <v>0</v>
      </c>
      <c r="P551" s="510">
        <v>0</v>
      </c>
      <c r="Q551" s="427">
        <f>SUM(E551:P551)</f>
        <v>0</v>
      </c>
    </row>
    <row r="552" spans="1:17" s="222" customFormat="1" x14ac:dyDescent="0.2">
      <c r="A552" s="259"/>
      <c r="D552" s="286"/>
      <c r="F552" s="288"/>
      <c r="G552" s="469"/>
      <c r="H552" s="288"/>
      <c r="I552" s="293"/>
      <c r="J552" s="288"/>
      <c r="K552" s="288"/>
      <c r="L552" s="288"/>
      <c r="M552" s="288"/>
      <c r="N552" s="288"/>
      <c r="O552" s="288"/>
      <c r="P552" s="288"/>
    </row>
    <row r="553" spans="1:17" s="222" customFormat="1" ht="10.8" thickBot="1" x14ac:dyDescent="0.25">
      <c r="A553" s="717">
        <f>A551+1</f>
        <v>18</v>
      </c>
      <c r="B553" s="489"/>
      <c r="C553" s="718" t="s">
        <v>205</v>
      </c>
      <c r="D553" s="719"/>
      <c r="E553" s="492">
        <f t="shared" ref="E553:P553" si="196">E549+E551</f>
        <v>56.39</v>
      </c>
      <c r="F553" s="492">
        <f t="shared" si="196"/>
        <v>49.98</v>
      </c>
      <c r="G553" s="492">
        <f t="shared" si="196"/>
        <v>24.68</v>
      </c>
      <c r="H553" s="492">
        <f t="shared" si="196"/>
        <v>12.81</v>
      </c>
      <c r="I553" s="492">
        <f t="shared" si="196"/>
        <v>5.32</v>
      </c>
      <c r="J553" s="492">
        <f t="shared" si="196"/>
        <v>1.02</v>
      </c>
      <c r="K553" s="492">
        <f t="shared" si="196"/>
        <v>1.1200000000000001</v>
      </c>
      <c r="L553" s="492">
        <f t="shared" si="196"/>
        <v>1.19</v>
      </c>
      <c r="M553" s="492">
        <f t="shared" si="196"/>
        <v>1.33</v>
      </c>
      <c r="N553" s="492">
        <f t="shared" si="196"/>
        <v>6.65</v>
      </c>
      <c r="O553" s="492">
        <f t="shared" si="196"/>
        <v>18.100000000000001</v>
      </c>
      <c r="P553" s="492">
        <f t="shared" si="196"/>
        <v>33.25</v>
      </c>
      <c r="Q553" s="492">
        <f>SUM(E553:P553)</f>
        <v>211.84000000000003</v>
      </c>
    </row>
    <row r="554" spans="1:17" s="222" customFormat="1" ht="10.8" thickTop="1" x14ac:dyDescent="0.2">
      <c r="A554" s="259"/>
      <c r="D554" s="286"/>
      <c r="F554" s="288"/>
      <c r="G554" s="469"/>
      <c r="H554" s="288"/>
      <c r="I554" s="293"/>
      <c r="J554" s="288"/>
      <c r="K554" s="288"/>
      <c r="L554" s="288"/>
      <c r="M554" s="288"/>
      <c r="N554" s="288"/>
      <c r="O554" s="288"/>
      <c r="P554" s="288"/>
    </row>
    <row r="555" spans="1:17" s="222" customFormat="1" x14ac:dyDescent="0.2">
      <c r="A555" s="259"/>
      <c r="D555" s="286"/>
      <c r="F555" s="288"/>
      <c r="G555" s="469"/>
      <c r="H555" s="288"/>
      <c r="I555" s="293"/>
      <c r="J555" s="288"/>
      <c r="K555" s="288"/>
      <c r="L555" s="288"/>
      <c r="M555" s="288"/>
      <c r="N555" s="288"/>
      <c r="O555" s="288"/>
      <c r="P555" s="288"/>
    </row>
    <row r="556" spans="1:17" s="222" customFormat="1" x14ac:dyDescent="0.2">
      <c r="A556" s="259">
        <f>A553+1</f>
        <v>19</v>
      </c>
      <c r="B556" s="222" t="str">
        <f>B133</f>
        <v>LG2</v>
      </c>
      <c r="C556" s="222" t="str">
        <f>C133</f>
        <v>LG&amp;E Commercial</v>
      </c>
      <c r="D556" s="286"/>
      <c r="F556" s="288"/>
      <c r="G556" s="469"/>
      <c r="H556" s="288"/>
      <c r="I556" s="293"/>
      <c r="J556" s="288"/>
      <c r="K556" s="288"/>
      <c r="L556" s="288"/>
      <c r="M556" s="288"/>
      <c r="N556" s="288"/>
      <c r="O556" s="288"/>
      <c r="P556" s="288"/>
    </row>
    <row r="557" spans="1:17" s="222" customFormat="1" x14ac:dyDescent="0.2">
      <c r="A557" s="259"/>
      <c r="D557" s="286"/>
      <c r="F557" s="288"/>
      <c r="G557" s="469"/>
      <c r="H557" s="288"/>
      <c r="I557" s="293"/>
      <c r="J557" s="288"/>
      <c r="K557" s="288"/>
      <c r="L557" s="288"/>
      <c r="M557" s="288"/>
      <c r="N557" s="288"/>
      <c r="O557" s="288"/>
      <c r="P557" s="288"/>
    </row>
    <row r="558" spans="1:17" s="222" customFormat="1" x14ac:dyDescent="0.2">
      <c r="A558" s="259">
        <f>A556+1</f>
        <v>20</v>
      </c>
      <c r="C558" s="262" t="s">
        <v>111</v>
      </c>
      <c r="D558" s="286"/>
      <c r="F558" s="288"/>
      <c r="G558" s="469"/>
      <c r="H558" s="288"/>
      <c r="I558" s="293"/>
      <c r="J558" s="288"/>
      <c r="K558" s="288"/>
      <c r="L558" s="288"/>
      <c r="M558" s="288"/>
      <c r="N558" s="288"/>
      <c r="O558" s="288"/>
      <c r="P558" s="288"/>
    </row>
    <row r="559" spans="1:17" s="222" customFormat="1" x14ac:dyDescent="0.2">
      <c r="A559" s="259"/>
      <c r="D559" s="286"/>
      <c r="F559" s="288"/>
      <c r="G559" s="469"/>
      <c r="H559" s="288"/>
      <c r="I559" s="293"/>
      <c r="J559" s="288"/>
      <c r="K559" s="288"/>
      <c r="L559" s="288"/>
      <c r="M559" s="288"/>
      <c r="N559" s="288"/>
      <c r="O559" s="288"/>
      <c r="P559" s="288"/>
    </row>
    <row r="560" spans="1:17" s="222" customFormat="1" x14ac:dyDescent="0.2">
      <c r="A560" s="259">
        <f>A558+1</f>
        <v>21</v>
      </c>
      <c r="C560" s="222" t="s">
        <v>202</v>
      </c>
      <c r="D560" s="286"/>
      <c r="E560" s="472">
        <f>B!D52</f>
        <v>1</v>
      </c>
      <c r="F560" s="472">
        <f>B!E52</f>
        <v>1</v>
      </c>
      <c r="G560" s="472">
        <f>B!F52</f>
        <v>1</v>
      </c>
      <c r="H560" s="472">
        <f>B!G52</f>
        <v>1</v>
      </c>
      <c r="I560" s="472">
        <f>B!H52</f>
        <v>1</v>
      </c>
      <c r="J560" s="472">
        <f>B!I52</f>
        <v>1</v>
      </c>
      <c r="K560" s="472">
        <f>B!J52</f>
        <v>1</v>
      </c>
      <c r="L560" s="472">
        <f>B!K52</f>
        <v>1</v>
      </c>
      <c r="M560" s="472">
        <f>B!L52</f>
        <v>1</v>
      </c>
      <c r="N560" s="472">
        <f>B!M52</f>
        <v>1</v>
      </c>
      <c r="O560" s="472">
        <f>B!N52</f>
        <v>1</v>
      </c>
      <c r="P560" s="472">
        <f>B!O52</f>
        <v>1</v>
      </c>
      <c r="Q560" s="528">
        <f>SUM(E560:P560)</f>
        <v>12</v>
      </c>
    </row>
    <row r="561" spans="1:17" s="222" customFormat="1" x14ac:dyDescent="0.2">
      <c r="A561" s="259">
        <f>A560+1</f>
        <v>22</v>
      </c>
      <c r="C561" s="222" t="s">
        <v>210</v>
      </c>
      <c r="D561" s="781">
        <f>Input!U27</f>
        <v>0</v>
      </c>
      <c r="E561" s="427">
        <f t="shared" ref="E561:P561" si="197">ROUND(E560*$D$493,2)</f>
        <v>0</v>
      </c>
      <c r="F561" s="427">
        <f t="shared" si="197"/>
        <v>0</v>
      </c>
      <c r="G561" s="427">
        <f t="shared" si="197"/>
        <v>0</v>
      </c>
      <c r="H561" s="427">
        <f t="shared" si="197"/>
        <v>0</v>
      </c>
      <c r="I561" s="427">
        <f t="shared" si="197"/>
        <v>0</v>
      </c>
      <c r="J561" s="427">
        <f t="shared" si="197"/>
        <v>0</v>
      </c>
      <c r="K561" s="427">
        <f t="shared" si="197"/>
        <v>0</v>
      </c>
      <c r="L561" s="427">
        <f t="shared" si="197"/>
        <v>0</v>
      </c>
      <c r="M561" s="427">
        <f t="shared" si="197"/>
        <v>0</v>
      </c>
      <c r="N561" s="427">
        <f t="shared" si="197"/>
        <v>0</v>
      </c>
      <c r="O561" s="427">
        <f t="shared" si="197"/>
        <v>0</v>
      </c>
      <c r="P561" s="427">
        <f t="shared" si="197"/>
        <v>0</v>
      </c>
      <c r="Q561" s="427">
        <f>SUM(E561:P561)</f>
        <v>0</v>
      </c>
    </row>
    <row r="562" spans="1:17" s="222" customFormat="1" x14ac:dyDescent="0.2">
      <c r="A562" s="259"/>
      <c r="D562" s="286"/>
      <c r="E562" s="514"/>
      <c r="F562" s="288"/>
      <c r="G562" s="469"/>
      <c r="H562" s="288"/>
      <c r="I562" s="293"/>
      <c r="J562" s="507"/>
      <c r="K562" s="288"/>
      <c r="L562" s="288"/>
      <c r="M562" s="288"/>
      <c r="N562" s="288"/>
      <c r="O562" s="288"/>
      <c r="P562" s="288"/>
    </row>
    <row r="563" spans="1:17" s="222" customFormat="1" x14ac:dyDescent="0.2">
      <c r="A563" s="259">
        <f>A561+1</f>
        <v>23</v>
      </c>
      <c r="C563" s="286" t="s">
        <v>209</v>
      </c>
      <c r="D563" s="512"/>
      <c r="E563" s="476">
        <f>'C'!D52</f>
        <v>191.8</v>
      </c>
      <c r="F563" s="476">
        <f>'C'!E52</f>
        <v>167.7</v>
      </c>
      <c r="G563" s="476">
        <f>'C'!F52</f>
        <v>88.3</v>
      </c>
      <c r="H563" s="476">
        <f>'C'!G52</f>
        <v>54</v>
      </c>
      <c r="I563" s="476">
        <f>'C'!H52</f>
        <v>20.2</v>
      </c>
      <c r="J563" s="476">
        <f>'C'!I52</f>
        <v>7.6</v>
      </c>
      <c r="K563" s="476">
        <f>'C'!J52</f>
        <v>7.9</v>
      </c>
      <c r="L563" s="476">
        <f>'C'!K52</f>
        <v>6.8</v>
      </c>
      <c r="M563" s="476">
        <f>'C'!L52</f>
        <v>6.6</v>
      </c>
      <c r="N563" s="476">
        <f>'C'!M52</f>
        <v>14.8</v>
      </c>
      <c r="O563" s="476">
        <f>'C'!N52</f>
        <v>41.5</v>
      </c>
      <c r="P563" s="476">
        <f>'C'!O52</f>
        <v>103.7</v>
      </c>
      <c r="Q563" s="728">
        <f>SUM(E563:P563)</f>
        <v>710.9</v>
      </c>
    </row>
    <row r="564" spans="1:17" s="222" customFormat="1" x14ac:dyDescent="0.2">
      <c r="A564" s="259">
        <f>A563+1</f>
        <v>24</v>
      </c>
      <c r="C564" s="222" t="s">
        <v>212</v>
      </c>
      <c r="D564" s="782">
        <f>Input!P27</f>
        <v>0.35</v>
      </c>
      <c r="E564" s="427">
        <f t="shared" ref="E564:P564" si="198">ROUND(E563*$D$564,2)</f>
        <v>67.13</v>
      </c>
      <c r="F564" s="427">
        <f t="shared" si="198"/>
        <v>58.7</v>
      </c>
      <c r="G564" s="427">
        <f t="shared" si="198"/>
        <v>30.91</v>
      </c>
      <c r="H564" s="427">
        <f t="shared" si="198"/>
        <v>18.899999999999999</v>
      </c>
      <c r="I564" s="427">
        <f t="shared" si="198"/>
        <v>7.07</v>
      </c>
      <c r="J564" s="427">
        <f t="shared" si="198"/>
        <v>2.66</v>
      </c>
      <c r="K564" s="427">
        <f t="shared" si="198"/>
        <v>2.77</v>
      </c>
      <c r="L564" s="427">
        <f t="shared" si="198"/>
        <v>2.38</v>
      </c>
      <c r="M564" s="427">
        <f t="shared" si="198"/>
        <v>2.31</v>
      </c>
      <c r="N564" s="427">
        <f t="shared" si="198"/>
        <v>5.18</v>
      </c>
      <c r="O564" s="427">
        <f t="shared" si="198"/>
        <v>14.53</v>
      </c>
      <c r="P564" s="427">
        <f t="shared" si="198"/>
        <v>36.299999999999997</v>
      </c>
      <c r="Q564" s="427">
        <f>SUM(E564:P564)</f>
        <v>248.84000000000003</v>
      </c>
    </row>
    <row r="565" spans="1:17" s="222" customFormat="1" x14ac:dyDescent="0.2">
      <c r="A565" s="259"/>
      <c r="D565" s="286"/>
      <c r="F565" s="288"/>
      <c r="G565" s="469"/>
      <c r="H565" s="288"/>
      <c r="I565" s="293"/>
      <c r="J565" s="288"/>
      <c r="K565" s="288"/>
      <c r="L565" s="288"/>
      <c r="M565" s="288"/>
      <c r="N565" s="288"/>
      <c r="O565" s="288"/>
      <c r="P565" s="288"/>
      <c r="Q565" s="536"/>
    </row>
    <row r="566" spans="1:17" s="222" customFormat="1" x14ac:dyDescent="0.2">
      <c r="A566" s="259">
        <f>A564+1</f>
        <v>25</v>
      </c>
      <c r="C566" s="222" t="s">
        <v>204</v>
      </c>
      <c r="D566" s="286"/>
      <c r="E566" s="427">
        <f t="shared" ref="E566:P566" si="199">E561+E564</f>
        <v>67.13</v>
      </c>
      <c r="F566" s="427">
        <f t="shared" si="199"/>
        <v>58.7</v>
      </c>
      <c r="G566" s="427">
        <f t="shared" si="199"/>
        <v>30.91</v>
      </c>
      <c r="H566" s="427">
        <f t="shared" si="199"/>
        <v>18.899999999999999</v>
      </c>
      <c r="I566" s="427">
        <f t="shared" si="199"/>
        <v>7.07</v>
      </c>
      <c r="J566" s="427">
        <f t="shared" si="199"/>
        <v>2.66</v>
      </c>
      <c r="K566" s="427">
        <f t="shared" si="199"/>
        <v>2.77</v>
      </c>
      <c r="L566" s="427">
        <f t="shared" si="199"/>
        <v>2.38</v>
      </c>
      <c r="M566" s="427">
        <f t="shared" si="199"/>
        <v>2.31</v>
      </c>
      <c r="N566" s="427">
        <f t="shared" si="199"/>
        <v>5.18</v>
      </c>
      <c r="O566" s="427">
        <f t="shared" si="199"/>
        <v>14.53</v>
      </c>
      <c r="P566" s="427">
        <f t="shared" si="199"/>
        <v>36.299999999999997</v>
      </c>
      <c r="Q566" s="427">
        <f>SUM(E566:P566)</f>
        <v>248.84000000000003</v>
      </c>
    </row>
    <row r="567" spans="1:17" s="222" customFormat="1" x14ac:dyDescent="0.2">
      <c r="A567" s="259"/>
      <c r="D567" s="286"/>
      <c r="F567" s="288"/>
      <c r="G567" s="469"/>
      <c r="H567" s="288"/>
      <c r="I567" s="293"/>
      <c r="J567" s="288"/>
      <c r="K567" s="288"/>
      <c r="L567" s="288"/>
      <c r="M567" s="288"/>
      <c r="N567" s="288"/>
      <c r="O567" s="288"/>
      <c r="P567" s="288"/>
      <c r="Q567" s="469"/>
    </row>
    <row r="568" spans="1:17" s="222" customFormat="1" x14ac:dyDescent="0.2">
      <c r="A568" s="259">
        <f>A566+1</f>
        <v>26</v>
      </c>
      <c r="C568" s="222" t="s">
        <v>151</v>
      </c>
      <c r="D568" s="783">
        <v>0</v>
      </c>
      <c r="E568" s="510">
        <v>0</v>
      </c>
      <c r="F568" s="510">
        <v>0</v>
      </c>
      <c r="G568" s="510">
        <v>0</v>
      </c>
      <c r="H568" s="510">
        <v>0</v>
      </c>
      <c r="I568" s="510">
        <v>0</v>
      </c>
      <c r="J568" s="510">
        <v>0</v>
      </c>
      <c r="K568" s="510">
        <v>0</v>
      </c>
      <c r="L568" s="510">
        <v>0</v>
      </c>
      <c r="M568" s="510">
        <v>0</v>
      </c>
      <c r="N568" s="510">
        <v>0</v>
      </c>
      <c r="O568" s="510">
        <v>0</v>
      </c>
      <c r="P568" s="510">
        <v>0</v>
      </c>
      <c r="Q568" s="427">
        <f>SUM(E568:P568)</f>
        <v>0</v>
      </c>
    </row>
    <row r="569" spans="1:17" s="222" customFormat="1" x14ac:dyDescent="0.2">
      <c r="A569" s="259"/>
      <c r="D569" s="286"/>
      <c r="F569" s="288"/>
      <c r="G569" s="469"/>
      <c r="H569" s="288"/>
      <c r="I569" s="293"/>
      <c r="J569" s="288"/>
      <c r="K569" s="288"/>
      <c r="L569" s="288"/>
      <c r="M569" s="288"/>
      <c r="N569" s="288"/>
      <c r="O569" s="288"/>
      <c r="P569" s="288"/>
    </row>
    <row r="570" spans="1:17" s="222" customFormat="1" ht="10.8" thickBot="1" x14ac:dyDescent="0.25">
      <c r="A570" s="717">
        <f>A568+1</f>
        <v>27</v>
      </c>
      <c r="B570" s="489"/>
      <c r="C570" s="718" t="s">
        <v>205</v>
      </c>
      <c r="D570" s="719"/>
      <c r="E570" s="492">
        <f t="shared" ref="E570:P570" si="200">E566+E568</f>
        <v>67.13</v>
      </c>
      <c r="F570" s="492">
        <f t="shared" si="200"/>
        <v>58.7</v>
      </c>
      <c r="G570" s="492">
        <f t="shared" si="200"/>
        <v>30.91</v>
      </c>
      <c r="H570" s="492">
        <f t="shared" si="200"/>
        <v>18.899999999999999</v>
      </c>
      <c r="I570" s="492">
        <f t="shared" si="200"/>
        <v>7.07</v>
      </c>
      <c r="J570" s="492">
        <f t="shared" si="200"/>
        <v>2.66</v>
      </c>
      <c r="K570" s="492">
        <f t="shared" si="200"/>
        <v>2.77</v>
      </c>
      <c r="L570" s="492">
        <f t="shared" si="200"/>
        <v>2.38</v>
      </c>
      <c r="M570" s="492">
        <f t="shared" si="200"/>
        <v>2.31</v>
      </c>
      <c r="N570" s="492">
        <f t="shared" si="200"/>
        <v>5.18</v>
      </c>
      <c r="O570" s="492">
        <f t="shared" si="200"/>
        <v>14.53</v>
      </c>
      <c r="P570" s="492">
        <f t="shared" si="200"/>
        <v>36.299999999999997</v>
      </c>
      <c r="Q570" s="492">
        <f>SUM(E570:P570)</f>
        <v>248.84000000000003</v>
      </c>
    </row>
    <row r="571" spans="1:17" s="222" customFormat="1" ht="10.8" thickTop="1" x14ac:dyDescent="0.2">
      <c r="A571" s="259"/>
      <c r="D571" s="286"/>
      <c r="F571" s="288"/>
      <c r="G571" s="469"/>
      <c r="H571" s="288"/>
      <c r="I571" s="293"/>
      <c r="J571" s="288"/>
      <c r="K571" s="288"/>
      <c r="L571" s="288"/>
      <c r="M571" s="288"/>
      <c r="N571" s="288"/>
      <c r="O571" s="288"/>
      <c r="P571" s="288"/>
    </row>
    <row r="572" spans="1:17" s="222" customFormat="1" x14ac:dyDescent="0.2">
      <c r="A572" s="259"/>
      <c r="D572" s="286"/>
      <c r="F572" s="288"/>
      <c r="G572" s="469"/>
      <c r="H572" s="288"/>
      <c r="I572" s="293"/>
      <c r="J572" s="288"/>
      <c r="K572" s="288"/>
      <c r="L572" s="288"/>
      <c r="M572" s="288"/>
      <c r="N572" s="288"/>
      <c r="O572" s="288"/>
      <c r="P572" s="288"/>
    </row>
    <row r="573" spans="1:17" s="222" customFormat="1" x14ac:dyDescent="0.2">
      <c r="A573" s="622" t="str">
        <f>$A$265</f>
        <v>[1] Reflects Normalized Volumes.</v>
      </c>
      <c r="D573" s="286"/>
      <c r="F573" s="288"/>
      <c r="G573" s="469"/>
      <c r="H573" s="288"/>
      <c r="I573" s="293"/>
      <c r="J573" s="288"/>
      <c r="K573" s="288"/>
      <c r="L573" s="288"/>
      <c r="M573" s="288"/>
      <c r="N573" s="288"/>
      <c r="O573" s="288"/>
      <c r="P573" s="288"/>
    </row>
    <row r="574" spans="1:17" s="222" customFormat="1" x14ac:dyDescent="0.2">
      <c r="A574" s="995" t="str">
        <f>CONAME</f>
        <v>Columbia Gas of Kentucky, Inc.</v>
      </c>
      <c r="B574" s="995"/>
      <c r="C574" s="995"/>
      <c r="D574" s="995"/>
      <c r="E574" s="995"/>
      <c r="F574" s="995"/>
      <c r="G574" s="995"/>
      <c r="H574" s="995"/>
      <c r="I574" s="995"/>
      <c r="J574" s="995"/>
      <c r="K574" s="995"/>
      <c r="L574" s="995"/>
      <c r="M574" s="995"/>
      <c r="N574" s="995"/>
      <c r="O574" s="995"/>
      <c r="P574" s="995"/>
      <c r="Q574" s="995"/>
    </row>
    <row r="575" spans="1:17" s="222" customFormat="1" x14ac:dyDescent="0.2">
      <c r="A575" s="978" t="str">
        <f>case</f>
        <v>Case No. 2016-00162</v>
      </c>
      <c r="B575" s="978"/>
      <c r="C575" s="978"/>
      <c r="D575" s="978"/>
      <c r="E575" s="978"/>
      <c r="F575" s="978"/>
      <c r="G575" s="978"/>
      <c r="H575" s="978"/>
      <c r="I575" s="978"/>
      <c r="J575" s="978"/>
      <c r="K575" s="978"/>
      <c r="L575" s="978"/>
      <c r="M575" s="978"/>
      <c r="N575" s="978"/>
      <c r="O575" s="978"/>
      <c r="P575" s="978"/>
      <c r="Q575" s="978"/>
    </row>
    <row r="576" spans="1:17" s="222" customFormat="1" x14ac:dyDescent="0.2">
      <c r="A576" s="996" t="s">
        <v>200</v>
      </c>
      <c r="B576" s="996"/>
      <c r="C576" s="996"/>
      <c r="D576" s="996"/>
      <c r="E576" s="996"/>
      <c r="F576" s="996"/>
      <c r="G576" s="996"/>
      <c r="H576" s="996"/>
      <c r="I576" s="996"/>
      <c r="J576" s="996"/>
      <c r="K576" s="996"/>
      <c r="L576" s="996"/>
      <c r="M576" s="996"/>
      <c r="N576" s="996"/>
      <c r="O576" s="996"/>
      <c r="P576" s="996"/>
      <c r="Q576" s="996"/>
    </row>
    <row r="577" spans="1:17" s="222" customFormat="1" x14ac:dyDescent="0.2">
      <c r="A577" s="995" t="str">
        <f>TYDESC</f>
        <v>For the 12 Months Ended December 31, 2017</v>
      </c>
      <c r="B577" s="995"/>
      <c r="C577" s="995"/>
      <c r="D577" s="995"/>
      <c r="E577" s="995"/>
      <c r="F577" s="995"/>
      <c r="G577" s="995"/>
      <c r="H577" s="995"/>
      <c r="I577" s="995"/>
      <c r="J577" s="995"/>
      <c r="K577" s="995"/>
      <c r="L577" s="995"/>
      <c r="M577" s="995"/>
      <c r="N577" s="995"/>
      <c r="O577" s="995"/>
      <c r="P577" s="995"/>
      <c r="Q577" s="995"/>
    </row>
    <row r="578" spans="1:17" s="222" customFormat="1" x14ac:dyDescent="0.2">
      <c r="A578" s="997" t="s">
        <v>39</v>
      </c>
      <c r="B578" s="997"/>
      <c r="C578" s="997"/>
      <c r="D578" s="997"/>
      <c r="E578" s="997"/>
      <c r="F578" s="997"/>
      <c r="G578" s="997"/>
      <c r="H578" s="997"/>
      <c r="I578" s="997"/>
      <c r="J578" s="997"/>
      <c r="K578" s="997"/>
      <c r="L578" s="997"/>
      <c r="M578" s="997"/>
      <c r="N578" s="997"/>
      <c r="O578" s="997"/>
      <c r="P578" s="997"/>
      <c r="Q578" s="997"/>
    </row>
    <row r="579" spans="1:17" s="222" customFormat="1" x14ac:dyDescent="0.2">
      <c r="A579" s="711" t="str">
        <f>$A$52</f>
        <v>Data: __ Base Period _X_ Forecasted Period</v>
      </c>
      <c r="D579" s="286"/>
      <c r="F579" s="288"/>
      <c r="G579" s="469"/>
      <c r="H579" s="288"/>
      <c r="I579" s="293"/>
      <c r="J579" s="288"/>
      <c r="K579" s="288"/>
      <c r="L579" s="288"/>
      <c r="M579" s="288"/>
      <c r="N579" s="288"/>
      <c r="O579" s="288"/>
      <c r="P579" s="288"/>
    </row>
    <row r="580" spans="1:17" s="222" customFormat="1" x14ac:dyDescent="0.2">
      <c r="A580" s="711" t="str">
        <f>$A$53</f>
        <v>Type of Filing: X Original _ Update _ Revised</v>
      </c>
      <c r="D580" s="286"/>
      <c r="F580" s="288"/>
      <c r="G580" s="469"/>
      <c r="H580" s="288"/>
      <c r="I580" s="293"/>
      <c r="J580" s="288"/>
      <c r="K580" s="288"/>
      <c r="L580" s="288"/>
      <c r="M580" s="288"/>
      <c r="N580" s="288"/>
      <c r="O580" s="288"/>
      <c r="P580" s="288"/>
      <c r="Q580" s="720" t="str">
        <f>$Q$53</f>
        <v>Schedule M-2.3</v>
      </c>
    </row>
    <row r="581" spans="1:17" s="222" customFormat="1" x14ac:dyDescent="0.2">
      <c r="A581" s="711" t="str">
        <f>$A$54</f>
        <v>Work Paper Reference No(s):</v>
      </c>
      <c r="D581" s="286"/>
      <c r="F581" s="288"/>
      <c r="G581" s="469"/>
      <c r="H581" s="288"/>
      <c r="I581" s="293"/>
      <c r="J581" s="288"/>
      <c r="K581" s="288"/>
      <c r="L581" s="288"/>
      <c r="M581" s="288"/>
      <c r="N581" s="288"/>
      <c r="O581" s="288"/>
      <c r="P581" s="288"/>
      <c r="Q581" s="720" t="s">
        <v>513</v>
      </c>
    </row>
    <row r="582" spans="1:17" s="222" customFormat="1" x14ac:dyDescent="0.2">
      <c r="A582" s="712" t="str">
        <f>$A$55</f>
        <v>12 Months Forecasted</v>
      </c>
      <c r="D582" s="286"/>
      <c r="F582" s="288"/>
      <c r="G582" s="469"/>
      <c r="H582" s="288"/>
      <c r="I582" s="293"/>
      <c r="J582" s="288"/>
      <c r="K582" s="288"/>
      <c r="L582" s="288"/>
      <c r="M582" s="288"/>
      <c r="N582" s="288"/>
      <c r="O582" s="288"/>
      <c r="P582" s="288"/>
      <c r="Q582" s="720" t="str">
        <f>Witness</f>
        <v>Witness:  M. J. Bell</v>
      </c>
    </row>
    <row r="583" spans="1:17" s="222" customFormat="1" x14ac:dyDescent="0.2">
      <c r="A583" s="998" t="s">
        <v>293</v>
      </c>
      <c r="B583" s="998"/>
      <c r="C583" s="998"/>
      <c r="D583" s="998"/>
      <c r="E583" s="998"/>
      <c r="F583" s="998"/>
      <c r="G583" s="998"/>
      <c r="H583" s="998"/>
      <c r="I583" s="998"/>
      <c r="J583" s="998"/>
      <c r="K583" s="998"/>
      <c r="L583" s="998"/>
      <c r="M583" s="998"/>
      <c r="N583" s="998"/>
      <c r="O583" s="998"/>
      <c r="P583" s="998"/>
      <c r="Q583" s="998"/>
    </row>
    <row r="584" spans="1:17" s="222" customFormat="1" x14ac:dyDescent="0.2">
      <c r="A584" s="225"/>
      <c r="B584" s="302"/>
      <c r="C584" s="302"/>
      <c r="D584" s="304"/>
      <c r="E584" s="302"/>
      <c r="F584" s="495"/>
      <c r="G584" s="496"/>
      <c r="H584" s="495"/>
      <c r="I584" s="497"/>
      <c r="J584" s="495"/>
      <c r="K584" s="495"/>
      <c r="L584" s="495"/>
      <c r="M584" s="495"/>
      <c r="N584" s="495"/>
      <c r="O584" s="495"/>
      <c r="P584" s="495"/>
      <c r="Q584" s="302"/>
    </row>
    <row r="585" spans="1:17" s="222" customFormat="1" x14ac:dyDescent="0.2">
      <c r="A585" s="410" t="s">
        <v>1</v>
      </c>
      <c r="B585" s="410" t="s">
        <v>0</v>
      </c>
      <c r="C585" s="410" t="s">
        <v>41</v>
      </c>
      <c r="D585" s="416" t="s">
        <v>30</v>
      </c>
      <c r="E585" s="410"/>
      <c r="F585" s="722"/>
      <c r="G585" s="725"/>
      <c r="H585" s="722"/>
      <c r="I585" s="726"/>
      <c r="J585" s="722"/>
      <c r="K585" s="722"/>
      <c r="L585" s="722"/>
      <c r="M585" s="722"/>
      <c r="N585" s="722"/>
      <c r="O585" s="722"/>
      <c r="P585" s="722"/>
      <c r="Q585" s="230"/>
    </row>
    <row r="586" spans="1:17" s="222" customFormat="1" x14ac:dyDescent="0.2">
      <c r="A586" s="281" t="s">
        <v>3</v>
      </c>
      <c r="B586" s="281" t="s">
        <v>40</v>
      </c>
      <c r="C586" s="281" t="s">
        <v>4</v>
      </c>
      <c r="D586" s="420" t="s">
        <v>48</v>
      </c>
      <c r="E586" s="421" t="str">
        <f>B!$D$11</f>
        <v>Jan-17</v>
      </c>
      <c r="F586" s="421" t="str">
        <f>B!$E$11</f>
        <v>Feb-17</v>
      </c>
      <c r="G586" s="421" t="str">
        <f>B!$F$11</f>
        <v>Mar-17</v>
      </c>
      <c r="H586" s="421" t="str">
        <f>B!$G$11</f>
        <v>Apr-17</v>
      </c>
      <c r="I586" s="421" t="str">
        <f>B!$H$11</f>
        <v>May-17</v>
      </c>
      <c r="J586" s="421" t="str">
        <f>B!$I$11</f>
        <v>Jun-17</v>
      </c>
      <c r="K586" s="421" t="str">
        <f>B!$J$11</f>
        <v>Jul-17</v>
      </c>
      <c r="L586" s="421" t="str">
        <f>B!$K$11</f>
        <v>Aug-17</v>
      </c>
      <c r="M586" s="421" t="str">
        <f>B!$L$11</f>
        <v>Sep-17</v>
      </c>
      <c r="N586" s="421" t="str">
        <f>B!$M$11</f>
        <v>Oct-17</v>
      </c>
      <c r="O586" s="421" t="str">
        <f>B!$N$11</f>
        <v>Nov-17</v>
      </c>
      <c r="P586" s="421" t="str">
        <f>B!$O$11</f>
        <v>Dec-17</v>
      </c>
      <c r="Q586" s="421" t="s">
        <v>9</v>
      </c>
    </row>
    <row r="587" spans="1:17" s="222" customFormat="1" x14ac:dyDescent="0.2">
      <c r="A587" s="410"/>
      <c r="B587" s="229" t="s">
        <v>42</v>
      </c>
      <c r="C587" s="229" t="s">
        <v>43</v>
      </c>
      <c r="D587" s="423" t="s">
        <v>45</v>
      </c>
      <c r="E587" s="424" t="s">
        <v>46</v>
      </c>
      <c r="F587" s="424" t="s">
        <v>49</v>
      </c>
      <c r="G587" s="424" t="s">
        <v>50</v>
      </c>
      <c r="H587" s="424" t="s">
        <v>51</v>
      </c>
      <c r="I587" s="424" t="s">
        <v>52</v>
      </c>
      <c r="J587" s="425" t="s">
        <v>53</v>
      </c>
      <c r="K587" s="425" t="s">
        <v>54</v>
      </c>
      <c r="L587" s="425" t="s">
        <v>55</v>
      </c>
      <c r="M587" s="425" t="s">
        <v>56</v>
      </c>
      <c r="N587" s="425" t="s">
        <v>57</v>
      </c>
      <c r="O587" s="425" t="s">
        <v>58</v>
      </c>
      <c r="P587" s="425" t="s">
        <v>59</v>
      </c>
      <c r="Q587" s="425" t="s">
        <v>203</v>
      </c>
    </row>
    <row r="588" spans="1:17" s="222" customFormat="1" x14ac:dyDescent="0.2">
      <c r="A588" s="259"/>
      <c r="D588" s="286"/>
      <c r="E588" s="230"/>
      <c r="F588" s="727"/>
      <c r="G588" s="723"/>
      <c r="H588" s="727"/>
      <c r="I588" s="724"/>
      <c r="J588" s="727"/>
      <c r="K588" s="727"/>
      <c r="L588" s="727"/>
      <c r="M588" s="727"/>
      <c r="N588" s="727"/>
      <c r="O588" s="727"/>
      <c r="P588" s="727"/>
      <c r="Q588" s="230"/>
    </row>
    <row r="589" spans="1:17" s="222" customFormat="1" x14ac:dyDescent="0.2">
      <c r="A589" s="259">
        <v>1</v>
      </c>
      <c r="B589" s="222" t="str">
        <f>B140</f>
        <v>LG3</v>
      </c>
      <c r="C589" s="222" t="str">
        <f>C140</f>
        <v>LG&amp;E Residential</v>
      </c>
      <c r="D589" s="286"/>
      <c r="F589" s="288"/>
      <c r="G589" s="469"/>
      <c r="H589" s="288"/>
      <c r="I589" s="293"/>
      <c r="J589" s="288"/>
      <c r="K589" s="288"/>
      <c r="L589" s="288"/>
      <c r="M589" s="288"/>
      <c r="N589" s="288"/>
      <c r="O589" s="288"/>
      <c r="P589" s="288"/>
    </row>
    <row r="590" spans="1:17" s="222" customFormat="1" x14ac:dyDescent="0.2">
      <c r="A590" s="259"/>
      <c r="D590" s="286"/>
      <c r="F590" s="288"/>
      <c r="G590" s="469"/>
      <c r="H590" s="288"/>
      <c r="I590" s="293"/>
      <c r="J590" s="288"/>
      <c r="K590" s="288"/>
      <c r="L590" s="288"/>
      <c r="M590" s="288"/>
      <c r="N590" s="288"/>
      <c r="O590" s="288"/>
      <c r="P590" s="288"/>
    </row>
    <row r="591" spans="1:17" s="222" customFormat="1" x14ac:dyDescent="0.2">
      <c r="A591" s="259">
        <f>A589+1</f>
        <v>2</v>
      </c>
      <c r="C591" s="262" t="s">
        <v>109</v>
      </c>
      <c r="D591" s="286"/>
      <c r="F591" s="288"/>
      <c r="G591" s="469"/>
      <c r="H591" s="288"/>
      <c r="I591" s="293"/>
      <c r="J591" s="288"/>
      <c r="K591" s="288"/>
      <c r="L591" s="288"/>
      <c r="M591" s="288"/>
      <c r="N591" s="288"/>
      <c r="O591" s="288"/>
      <c r="P591" s="288"/>
    </row>
    <row r="592" spans="1:17" s="222" customFormat="1" x14ac:dyDescent="0.2">
      <c r="A592" s="259"/>
    </row>
    <row r="593" spans="1:17" s="222" customFormat="1" x14ac:dyDescent="0.2">
      <c r="A593" s="259">
        <f>A591+1</f>
        <v>3</v>
      </c>
      <c r="C593" s="222" t="s">
        <v>202</v>
      </c>
      <c r="D593" s="286"/>
      <c r="E593" s="472">
        <f>B!D70</f>
        <v>1</v>
      </c>
      <c r="F593" s="472">
        <f>B!E70</f>
        <v>1</v>
      </c>
      <c r="G593" s="472">
        <f>B!F70</f>
        <v>1</v>
      </c>
      <c r="H593" s="472">
        <f>B!G70</f>
        <v>1</v>
      </c>
      <c r="I593" s="472">
        <f>B!H70</f>
        <v>1</v>
      </c>
      <c r="J593" s="472">
        <f>B!I70</f>
        <v>1</v>
      </c>
      <c r="K593" s="472">
        <f>B!J70</f>
        <v>1</v>
      </c>
      <c r="L593" s="472">
        <f>B!K70</f>
        <v>1</v>
      </c>
      <c r="M593" s="472">
        <f>B!L70</f>
        <v>1</v>
      </c>
      <c r="N593" s="472">
        <f>B!M70</f>
        <v>1</v>
      </c>
      <c r="O593" s="472">
        <f>B!N70</f>
        <v>1</v>
      </c>
      <c r="P593" s="472">
        <f>B!O70</f>
        <v>1</v>
      </c>
      <c r="Q593" s="472">
        <f>SUM(E593:P593)</f>
        <v>12</v>
      </c>
    </row>
    <row r="594" spans="1:17" s="222" customFormat="1" x14ac:dyDescent="0.2">
      <c r="A594" s="259">
        <f>A593+1</f>
        <v>4</v>
      </c>
      <c r="C594" s="222" t="s">
        <v>210</v>
      </c>
      <c r="D594" s="781">
        <f>Input!U28</f>
        <v>1.2</v>
      </c>
      <c r="E594" s="427">
        <f t="shared" ref="E594:P594" si="201">ROUND(E593*$D$594,2)</f>
        <v>1.2</v>
      </c>
      <c r="F594" s="427">
        <f t="shared" si="201"/>
        <v>1.2</v>
      </c>
      <c r="G594" s="427">
        <f t="shared" si="201"/>
        <v>1.2</v>
      </c>
      <c r="H594" s="427">
        <f t="shared" si="201"/>
        <v>1.2</v>
      </c>
      <c r="I594" s="427">
        <f t="shared" si="201"/>
        <v>1.2</v>
      </c>
      <c r="J594" s="427">
        <f t="shared" si="201"/>
        <v>1.2</v>
      </c>
      <c r="K594" s="427">
        <f t="shared" si="201"/>
        <v>1.2</v>
      </c>
      <c r="L594" s="427">
        <f t="shared" si="201"/>
        <v>1.2</v>
      </c>
      <c r="M594" s="427">
        <f t="shared" si="201"/>
        <v>1.2</v>
      </c>
      <c r="N594" s="427">
        <f t="shared" si="201"/>
        <v>1.2</v>
      </c>
      <c r="O594" s="427">
        <f t="shared" si="201"/>
        <v>1.2</v>
      </c>
      <c r="P594" s="427">
        <f t="shared" si="201"/>
        <v>1.2</v>
      </c>
      <c r="Q594" s="427">
        <f>SUM(E594:P594)</f>
        <v>14.399999999999997</v>
      </c>
    </row>
    <row r="595" spans="1:17" s="222" customFormat="1" x14ac:dyDescent="0.2">
      <c r="A595" s="259"/>
      <c r="D595" s="286"/>
      <c r="F595" s="288"/>
      <c r="G595" s="469"/>
      <c r="H595" s="288"/>
      <c r="I595" s="293"/>
      <c r="J595" s="507"/>
      <c r="K595" s="288"/>
      <c r="L595" s="288"/>
      <c r="M595" s="288"/>
      <c r="N595" s="288"/>
      <c r="O595" s="288"/>
      <c r="P595" s="288"/>
    </row>
    <row r="596" spans="1:17" s="222" customFormat="1" x14ac:dyDescent="0.2">
      <c r="A596" s="259">
        <f>A594+1</f>
        <v>5</v>
      </c>
      <c r="C596" s="286" t="s">
        <v>209</v>
      </c>
      <c r="D596" s="286"/>
      <c r="E596" s="514"/>
      <c r="F596" s="288"/>
      <c r="G596" s="469"/>
      <c r="H596" s="288"/>
      <c r="I596" s="293"/>
      <c r="J596" s="507"/>
      <c r="K596" s="288"/>
      <c r="L596" s="288"/>
      <c r="M596" s="288"/>
      <c r="N596" s="288"/>
      <c r="O596" s="288"/>
      <c r="P596" s="288"/>
    </row>
    <row r="597" spans="1:17" s="222" customFormat="1" x14ac:dyDescent="0.2">
      <c r="A597" s="259">
        <f>A596+1</f>
        <v>6</v>
      </c>
      <c r="C597" s="222" t="str">
        <f>'C'!B69</f>
        <v xml:space="preserve">    First 2 Mcf</v>
      </c>
      <c r="E597" s="293">
        <f>'C'!D69</f>
        <v>2</v>
      </c>
      <c r="F597" s="293">
        <f>'C'!E69</f>
        <v>2</v>
      </c>
      <c r="G597" s="293">
        <f>'C'!F69</f>
        <v>2</v>
      </c>
      <c r="H597" s="293">
        <f>'C'!G69</f>
        <v>2</v>
      </c>
      <c r="I597" s="293">
        <f>'C'!H69</f>
        <v>2</v>
      </c>
      <c r="J597" s="293">
        <f>'C'!I69</f>
        <v>2.4</v>
      </c>
      <c r="K597" s="293">
        <f>'C'!J69</f>
        <v>2</v>
      </c>
      <c r="L597" s="293">
        <f>'C'!K69</f>
        <v>2</v>
      </c>
      <c r="M597" s="293">
        <f>'C'!L69</f>
        <v>2</v>
      </c>
      <c r="N597" s="293">
        <f>'C'!M69</f>
        <v>2</v>
      </c>
      <c r="O597" s="293">
        <f>'C'!N69</f>
        <v>2</v>
      </c>
      <c r="P597" s="293">
        <f>'C'!O69</f>
        <v>2</v>
      </c>
      <c r="Q597" s="506">
        <f>SUM(E597:P597)</f>
        <v>24.4</v>
      </c>
    </row>
    <row r="598" spans="1:17" s="222" customFormat="1" x14ac:dyDescent="0.2">
      <c r="A598" s="259">
        <f>A597+1</f>
        <v>7</v>
      </c>
      <c r="C598" s="222" t="str">
        <f>'C'!B70</f>
        <v xml:space="preserve">    Over 2 Mcf</v>
      </c>
      <c r="E598" s="515">
        <f>'C'!D70</f>
        <v>89.8</v>
      </c>
      <c r="F598" s="515">
        <f>'C'!E70</f>
        <v>71.400000000000006</v>
      </c>
      <c r="G598" s="515">
        <f>'C'!F70</f>
        <v>43.4</v>
      </c>
      <c r="H598" s="515">
        <f>'C'!G70</f>
        <v>102.5</v>
      </c>
      <c r="I598" s="515">
        <f>'C'!H70</f>
        <v>65.400000000000006</v>
      </c>
      <c r="J598" s="515">
        <f>'C'!I70</f>
        <v>24.1</v>
      </c>
      <c r="K598" s="515">
        <f>'C'!J70</f>
        <v>24.2</v>
      </c>
      <c r="L598" s="515">
        <f>'C'!K70</f>
        <v>9.8000000000000007</v>
      </c>
      <c r="M598" s="515">
        <f>'C'!L70</f>
        <v>24.2</v>
      </c>
      <c r="N598" s="515">
        <f>'C'!M70</f>
        <v>73.900000000000006</v>
      </c>
      <c r="O598" s="515">
        <f>'C'!N70</f>
        <v>103.5</v>
      </c>
      <c r="P598" s="515">
        <f>'C'!O70</f>
        <v>57.5</v>
      </c>
      <c r="Q598" s="515">
        <f>SUM(E598:P598)</f>
        <v>689.7</v>
      </c>
    </row>
    <row r="599" spans="1:17" s="222" customFormat="1" x14ac:dyDescent="0.2">
      <c r="A599" s="259"/>
      <c r="D599" s="286"/>
      <c r="E599" s="293">
        <f t="shared" ref="E599:P599" si="202">SUM(E597:E598)</f>
        <v>91.8</v>
      </c>
      <c r="F599" s="293">
        <f t="shared" si="202"/>
        <v>73.400000000000006</v>
      </c>
      <c r="G599" s="293">
        <f t="shared" si="202"/>
        <v>45.4</v>
      </c>
      <c r="H599" s="293">
        <f t="shared" si="202"/>
        <v>104.5</v>
      </c>
      <c r="I599" s="293">
        <f t="shared" si="202"/>
        <v>67.400000000000006</v>
      </c>
      <c r="J599" s="293">
        <f t="shared" si="202"/>
        <v>26.5</v>
      </c>
      <c r="K599" s="293">
        <f t="shared" si="202"/>
        <v>26.2</v>
      </c>
      <c r="L599" s="293">
        <f t="shared" si="202"/>
        <v>11.8</v>
      </c>
      <c r="M599" s="293">
        <f t="shared" si="202"/>
        <v>26.2</v>
      </c>
      <c r="N599" s="293">
        <f t="shared" si="202"/>
        <v>75.900000000000006</v>
      </c>
      <c r="O599" s="293">
        <f t="shared" si="202"/>
        <v>105.5</v>
      </c>
      <c r="P599" s="293">
        <f t="shared" si="202"/>
        <v>59.5</v>
      </c>
      <c r="Q599" s="476">
        <f>SUM(E599:P599)</f>
        <v>714.1</v>
      </c>
    </row>
    <row r="600" spans="1:17" s="222" customFormat="1" x14ac:dyDescent="0.2">
      <c r="A600" s="259">
        <f>A598+1</f>
        <v>8</v>
      </c>
      <c r="C600" s="222" t="s">
        <v>207</v>
      </c>
      <c r="D600" s="286"/>
      <c r="F600" s="288"/>
      <c r="G600" s="469"/>
      <c r="H600" s="288"/>
      <c r="I600" s="293"/>
      <c r="J600" s="288"/>
      <c r="K600" s="288"/>
      <c r="L600" s="288"/>
      <c r="M600" s="288"/>
      <c r="N600" s="288"/>
      <c r="O600" s="288"/>
      <c r="P600" s="288"/>
    </row>
    <row r="601" spans="1:17" s="222" customFormat="1" x14ac:dyDescent="0.2">
      <c r="A601" s="259">
        <f>A600+1</f>
        <v>9</v>
      </c>
      <c r="C601" s="222" t="str">
        <f>C597</f>
        <v xml:space="preserve">    First 2 Mcf</v>
      </c>
      <c r="D601" s="782">
        <f>Input!P28</f>
        <v>0</v>
      </c>
      <c r="E601" s="427">
        <f t="shared" ref="E601:P601" si="203">ROUND(E597*$D$601,2)</f>
        <v>0</v>
      </c>
      <c r="F601" s="427">
        <f t="shared" si="203"/>
        <v>0</v>
      </c>
      <c r="G601" s="427">
        <f t="shared" si="203"/>
        <v>0</v>
      </c>
      <c r="H601" s="427">
        <f t="shared" si="203"/>
        <v>0</v>
      </c>
      <c r="I601" s="427">
        <f t="shared" si="203"/>
        <v>0</v>
      </c>
      <c r="J601" s="427">
        <f t="shared" si="203"/>
        <v>0</v>
      </c>
      <c r="K601" s="427">
        <f t="shared" si="203"/>
        <v>0</v>
      </c>
      <c r="L601" s="427">
        <f t="shared" si="203"/>
        <v>0</v>
      </c>
      <c r="M601" s="427">
        <f t="shared" si="203"/>
        <v>0</v>
      </c>
      <c r="N601" s="427">
        <f t="shared" si="203"/>
        <v>0</v>
      </c>
      <c r="O601" s="427">
        <f t="shared" si="203"/>
        <v>0</v>
      </c>
      <c r="P601" s="427">
        <f t="shared" si="203"/>
        <v>0</v>
      </c>
      <c r="Q601" s="427">
        <f>SUM(E601:P601)</f>
        <v>0</v>
      </c>
    </row>
    <row r="602" spans="1:17" s="222" customFormat="1" x14ac:dyDescent="0.2">
      <c r="A602" s="259">
        <f>A601+1</f>
        <v>10</v>
      </c>
      <c r="C602" s="222" t="str">
        <f>C598</f>
        <v xml:space="preserve">    Over 2 Mcf</v>
      </c>
      <c r="D602" s="782">
        <f>Input!Q28</f>
        <v>0.35</v>
      </c>
      <c r="E602" s="535">
        <f t="shared" ref="E602:P602" si="204">ROUND(E598*$D$602,2)</f>
        <v>31.43</v>
      </c>
      <c r="F602" s="535">
        <f t="shared" si="204"/>
        <v>24.99</v>
      </c>
      <c r="G602" s="535">
        <f t="shared" si="204"/>
        <v>15.19</v>
      </c>
      <c r="H602" s="535">
        <f t="shared" si="204"/>
        <v>35.880000000000003</v>
      </c>
      <c r="I602" s="535">
        <f t="shared" si="204"/>
        <v>22.89</v>
      </c>
      <c r="J602" s="535">
        <f t="shared" si="204"/>
        <v>8.44</v>
      </c>
      <c r="K602" s="535">
        <f t="shared" si="204"/>
        <v>8.4700000000000006</v>
      </c>
      <c r="L602" s="535">
        <f t="shared" si="204"/>
        <v>3.43</v>
      </c>
      <c r="M602" s="535">
        <f t="shared" si="204"/>
        <v>8.4700000000000006</v>
      </c>
      <c r="N602" s="535">
        <f t="shared" si="204"/>
        <v>25.87</v>
      </c>
      <c r="O602" s="535">
        <f t="shared" si="204"/>
        <v>36.229999999999997</v>
      </c>
      <c r="P602" s="535">
        <f t="shared" si="204"/>
        <v>20.13</v>
      </c>
      <c r="Q602" s="535">
        <f>SUM(E602:P602)</f>
        <v>241.42</v>
      </c>
    </row>
    <row r="603" spans="1:17" s="222" customFormat="1" x14ac:dyDescent="0.2">
      <c r="A603" s="259"/>
      <c r="D603" s="286"/>
      <c r="E603" s="427">
        <f t="shared" ref="E603:P603" si="205">SUM(E601:E602)</f>
        <v>31.43</v>
      </c>
      <c r="F603" s="427">
        <f t="shared" si="205"/>
        <v>24.99</v>
      </c>
      <c r="G603" s="427">
        <f t="shared" si="205"/>
        <v>15.19</v>
      </c>
      <c r="H603" s="427">
        <f t="shared" si="205"/>
        <v>35.880000000000003</v>
      </c>
      <c r="I603" s="427">
        <f t="shared" si="205"/>
        <v>22.89</v>
      </c>
      <c r="J603" s="427">
        <f t="shared" si="205"/>
        <v>8.44</v>
      </c>
      <c r="K603" s="427">
        <f t="shared" si="205"/>
        <v>8.4700000000000006</v>
      </c>
      <c r="L603" s="427">
        <f t="shared" si="205"/>
        <v>3.43</v>
      </c>
      <c r="M603" s="427">
        <f t="shared" si="205"/>
        <v>8.4700000000000006</v>
      </c>
      <c r="N603" s="427">
        <f t="shared" si="205"/>
        <v>25.87</v>
      </c>
      <c r="O603" s="427">
        <f t="shared" si="205"/>
        <v>36.229999999999997</v>
      </c>
      <c r="P603" s="427">
        <f t="shared" si="205"/>
        <v>20.13</v>
      </c>
      <c r="Q603" s="427">
        <f>SUM(E603:P603)</f>
        <v>241.42</v>
      </c>
    </row>
    <row r="604" spans="1:17" s="222" customFormat="1" x14ac:dyDescent="0.2">
      <c r="A604" s="259"/>
      <c r="D604" s="286"/>
      <c r="F604" s="288"/>
      <c r="G604" s="469"/>
      <c r="H604" s="288"/>
      <c r="I604" s="293"/>
      <c r="J604" s="288"/>
      <c r="K604" s="288"/>
      <c r="L604" s="288"/>
      <c r="M604" s="288"/>
      <c r="N604" s="288"/>
      <c r="O604" s="288"/>
      <c r="P604" s="288"/>
    </row>
    <row r="605" spans="1:17" s="222" customFormat="1" x14ac:dyDescent="0.2">
      <c r="A605" s="259">
        <f>A602+1</f>
        <v>11</v>
      </c>
      <c r="C605" s="222" t="s">
        <v>204</v>
      </c>
      <c r="D605" s="286"/>
      <c r="E605" s="427">
        <f t="shared" ref="E605:P605" si="206">E594+E603</f>
        <v>32.630000000000003</v>
      </c>
      <c r="F605" s="427">
        <f t="shared" si="206"/>
        <v>26.189999999999998</v>
      </c>
      <c r="G605" s="427">
        <f t="shared" si="206"/>
        <v>16.39</v>
      </c>
      <c r="H605" s="427">
        <f t="shared" si="206"/>
        <v>37.080000000000005</v>
      </c>
      <c r="I605" s="427">
        <f t="shared" si="206"/>
        <v>24.09</v>
      </c>
      <c r="J605" s="427">
        <f t="shared" si="206"/>
        <v>9.6399999999999988</v>
      </c>
      <c r="K605" s="427">
        <f t="shared" si="206"/>
        <v>9.67</v>
      </c>
      <c r="L605" s="427">
        <f t="shared" si="206"/>
        <v>4.63</v>
      </c>
      <c r="M605" s="427">
        <f t="shared" si="206"/>
        <v>9.67</v>
      </c>
      <c r="N605" s="427">
        <f t="shared" si="206"/>
        <v>27.07</v>
      </c>
      <c r="O605" s="427">
        <f t="shared" si="206"/>
        <v>37.43</v>
      </c>
      <c r="P605" s="427">
        <f t="shared" si="206"/>
        <v>21.33</v>
      </c>
      <c r="Q605" s="427">
        <f>SUM(E605:P605)</f>
        <v>255.82</v>
      </c>
    </row>
    <row r="606" spans="1:17" s="222" customFormat="1" x14ac:dyDescent="0.2">
      <c r="A606" s="259"/>
      <c r="D606" s="286"/>
      <c r="F606" s="288"/>
      <c r="G606" s="469"/>
      <c r="H606" s="288"/>
      <c r="I606" s="293"/>
      <c r="J606" s="288"/>
      <c r="K606" s="288"/>
      <c r="L606" s="288"/>
      <c r="M606" s="288"/>
      <c r="N606" s="288"/>
      <c r="O606" s="288"/>
      <c r="P606" s="288"/>
    </row>
    <row r="607" spans="1:17" s="222" customFormat="1" x14ac:dyDescent="0.2">
      <c r="A607" s="259">
        <f>A605+1</f>
        <v>12</v>
      </c>
      <c r="C607" s="222" t="s">
        <v>151</v>
      </c>
      <c r="D607" s="783">
        <v>0</v>
      </c>
      <c r="E607" s="510">
        <v>0</v>
      </c>
      <c r="F607" s="510">
        <v>0</v>
      </c>
      <c r="G607" s="510">
        <v>0</v>
      </c>
      <c r="H607" s="510">
        <v>0</v>
      </c>
      <c r="I607" s="510">
        <v>0</v>
      </c>
      <c r="J607" s="510">
        <v>0</v>
      </c>
      <c r="K607" s="510">
        <v>0</v>
      </c>
      <c r="L607" s="510">
        <v>0</v>
      </c>
      <c r="M607" s="510">
        <v>0</v>
      </c>
      <c r="N607" s="510">
        <v>0</v>
      </c>
      <c r="O607" s="510">
        <v>0</v>
      </c>
      <c r="P607" s="510">
        <v>0</v>
      </c>
      <c r="Q607" s="427">
        <f>SUM(E607:P607)</f>
        <v>0</v>
      </c>
    </row>
    <row r="608" spans="1:17" s="222" customFormat="1" x14ac:dyDescent="0.2">
      <c r="A608" s="259"/>
      <c r="D608" s="286"/>
      <c r="F608" s="288"/>
      <c r="G608" s="469"/>
      <c r="H608" s="288"/>
      <c r="I608" s="293"/>
      <c r="J608" s="288"/>
      <c r="K608" s="288"/>
      <c r="L608" s="288"/>
      <c r="M608" s="288"/>
      <c r="N608" s="288"/>
      <c r="O608" s="288"/>
      <c r="P608" s="288"/>
      <c r="Q608" s="469"/>
    </row>
    <row r="609" spans="1:17" s="222" customFormat="1" ht="10.8" thickBot="1" x14ac:dyDescent="0.25">
      <c r="A609" s="717">
        <f>A607+1</f>
        <v>13</v>
      </c>
      <c r="B609" s="489"/>
      <c r="C609" s="718" t="s">
        <v>205</v>
      </c>
      <c r="D609" s="719"/>
      <c r="E609" s="492">
        <f t="shared" ref="E609:P609" si="207">E605+E607</f>
        <v>32.630000000000003</v>
      </c>
      <c r="F609" s="492">
        <f t="shared" si="207"/>
        <v>26.189999999999998</v>
      </c>
      <c r="G609" s="492">
        <f t="shared" si="207"/>
        <v>16.39</v>
      </c>
      <c r="H609" s="492">
        <f t="shared" si="207"/>
        <v>37.080000000000005</v>
      </c>
      <c r="I609" s="492">
        <f t="shared" si="207"/>
        <v>24.09</v>
      </c>
      <c r="J609" s="492">
        <f t="shared" si="207"/>
        <v>9.6399999999999988</v>
      </c>
      <c r="K609" s="492">
        <f t="shared" si="207"/>
        <v>9.67</v>
      </c>
      <c r="L609" s="492">
        <f t="shared" si="207"/>
        <v>4.63</v>
      </c>
      <c r="M609" s="492">
        <f t="shared" si="207"/>
        <v>9.67</v>
      </c>
      <c r="N609" s="492">
        <f t="shared" si="207"/>
        <v>27.07</v>
      </c>
      <c r="O609" s="492">
        <f t="shared" si="207"/>
        <v>37.43</v>
      </c>
      <c r="P609" s="492">
        <f t="shared" si="207"/>
        <v>21.33</v>
      </c>
      <c r="Q609" s="492">
        <f>SUM(E609:P609)</f>
        <v>255.82</v>
      </c>
    </row>
    <row r="610" spans="1:17" s="222" customFormat="1" ht="10.8" thickTop="1" x14ac:dyDescent="0.2">
      <c r="A610" s="259"/>
      <c r="D610" s="286"/>
      <c r="F610" s="288"/>
      <c r="G610" s="469"/>
      <c r="H610" s="288"/>
      <c r="I610" s="293"/>
      <c r="J610" s="288"/>
      <c r="K610" s="288"/>
      <c r="L610" s="288"/>
      <c r="M610" s="288"/>
      <c r="N610" s="288"/>
      <c r="O610" s="288"/>
      <c r="P610" s="288"/>
    </row>
    <row r="611" spans="1:17" s="222" customFormat="1" x14ac:dyDescent="0.2">
      <c r="A611" s="259">
        <f>A609+1</f>
        <v>14</v>
      </c>
      <c r="B611" s="222" t="str">
        <f>B147</f>
        <v>LG4</v>
      </c>
      <c r="C611" s="222" t="str">
        <f>C147</f>
        <v>LG&amp;E Residential</v>
      </c>
      <c r="D611" s="286"/>
      <c r="F611" s="288"/>
      <c r="G611" s="469"/>
      <c r="H611" s="288"/>
      <c r="I611" s="293"/>
      <c r="J611" s="288"/>
      <c r="K611" s="288"/>
      <c r="L611" s="288"/>
      <c r="M611" s="288"/>
      <c r="N611" s="288"/>
      <c r="O611" s="288"/>
      <c r="P611" s="288"/>
    </row>
    <row r="612" spans="1:17" s="222" customFormat="1" x14ac:dyDescent="0.2">
      <c r="A612" s="259"/>
      <c r="D612" s="286"/>
      <c r="F612" s="288"/>
      <c r="G612" s="469"/>
      <c r="H612" s="288"/>
      <c r="I612" s="293"/>
      <c r="J612" s="288"/>
      <c r="K612" s="288"/>
      <c r="L612" s="288"/>
      <c r="M612" s="288"/>
      <c r="N612" s="288"/>
      <c r="O612" s="288"/>
      <c r="P612" s="288"/>
    </row>
    <row r="613" spans="1:17" s="222" customFormat="1" x14ac:dyDescent="0.2">
      <c r="A613" s="259">
        <f>A611+1</f>
        <v>15</v>
      </c>
      <c r="C613" s="262" t="s">
        <v>109</v>
      </c>
      <c r="D613" s="286"/>
      <c r="F613" s="288"/>
      <c r="G613" s="469"/>
      <c r="H613" s="288"/>
      <c r="I613" s="293"/>
      <c r="J613" s="288"/>
      <c r="K613" s="288"/>
      <c r="L613" s="288"/>
      <c r="M613" s="288"/>
      <c r="N613" s="288"/>
      <c r="O613" s="288"/>
      <c r="P613" s="288"/>
    </row>
    <row r="614" spans="1:17" s="222" customFormat="1" x14ac:dyDescent="0.2">
      <c r="A614" s="259"/>
      <c r="D614" s="286"/>
      <c r="F614" s="288"/>
      <c r="G614" s="469"/>
      <c r="H614" s="288"/>
      <c r="I614" s="293"/>
      <c r="J614" s="288"/>
      <c r="K614" s="288"/>
      <c r="L614" s="288"/>
      <c r="M614" s="288"/>
      <c r="N614" s="288"/>
      <c r="O614" s="288"/>
      <c r="P614" s="288"/>
    </row>
    <row r="615" spans="1:17" s="222" customFormat="1" x14ac:dyDescent="0.2">
      <c r="A615" s="259">
        <f>A613+1</f>
        <v>16</v>
      </c>
      <c r="C615" s="222" t="s">
        <v>202</v>
      </c>
      <c r="D615" s="286"/>
      <c r="E615" s="472">
        <f>B!D75</f>
        <v>1</v>
      </c>
      <c r="F615" s="472">
        <f>B!E75</f>
        <v>1</v>
      </c>
      <c r="G615" s="472">
        <f>B!F75</f>
        <v>1</v>
      </c>
      <c r="H615" s="472">
        <f>B!G75</f>
        <v>1</v>
      </c>
      <c r="I615" s="472">
        <f>B!H75</f>
        <v>1</v>
      </c>
      <c r="J615" s="472">
        <f>B!I75</f>
        <v>1</v>
      </c>
      <c r="K615" s="472">
        <f>B!J75</f>
        <v>1</v>
      </c>
      <c r="L615" s="472">
        <f>B!K75</f>
        <v>1</v>
      </c>
      <c r="M615" s="472">
        <f>B!L75</f>
        <v>1</v>
      </c>
      <c r="N615" s="472">
        <f>B!M75</f>
        <v>1</v>
      </c>
      <c r="O615" s="472">
        <f>B!N75</f>
        <v>1</v>
      </c>
      <c r="P615" s="472">
        <f>B!O75</f>
        <v>1</v>
      </c>
      <c r="Q615" s="528">
        <f>SUM(E615:P615)</f>
        <v>12</v>
      </c>
    </row>
    <row r="616" spans="1:17" s="222" customFormat="1" x14ac:dyDescent="0.2">
      <c r="A616" s="259">
        <f>A615+1</f>
        <v>17</v>
      </c>
      <c r="C616" s="222" t="s">
        <v>210</v>
      </c>
      <c r="D616" s="781">
        <f>Input!U29</f>
        <v>0</v>
      </c>
      <c r="E616" s="427">
        <f t="shared" ref="E616:P616" si="208">ROUND(E615*$D$493,2)</f>
        <v>0</v>
      </c>
      <c r="F616" s="427">
        <f t="shared" si="208"/>
        <v>0</v>
      </c>
      <c r="G616" s="427">
        <f t="shared" si="208"/>
        <v>0</v>
      </c>
      <c r="H616" s="427">
        <f t="shared" si="208"/>
        <v>0</v>
      </c>
      <c r="I616" s="427">
        <f t="shared" si="208"/>
        <v>0</v>
      </c>
      <c r="J616" s="427">
        <f t="shared" si="208"/>
        <v>0</v>
      </c>
      <c r="K616" s="427">
        <f t="shared" si="208"/>
        <v>0</v>
      </c>
      <c r="L616" s="427">
        <f t="shared" si="208"/>
        <v>0</v>
      </c>
      <c r="M616" s="427">
        <f t="shared" si="208"/>
        <v>0</v>
      </c>
      <c r="N616" s="427">
        <f t="shared" si="208"/>
        <v>0</v>
      </c>
      <c r="O616" s="427">
        <f t="shared" si="208"/>
        <v>0</v>
      </c>
      <c r="P616" s="427">
        <f t="shared" si="208"/>
        <v>0</v>
      </c>
      <c r="Q616" s="427">
        <f>SUM(E616:P616)</f>
        <v>0</v>
      </c>
    </row>
    <row r="617" spans="1:17" s="222" customFormat="1" x14ac:dyDescent="0.2">
      <c r="A617" s="259"/>
      <c r="D617" s="286"/>
      <c r="E617" s="514"/>
      <c r="F617" s="288"/>
      <c r="G617" s="469"/>
      <c r="H617" s="288"/>
      <c r="I617" s="293"/>
      <c r="J617" s="507"/>
      <c r="K617" s="288"/>
      <c r="L617" s="288"/>
      <c r="M617" s="288"/>
      <c r="N617" s="288"/>
      <c r="O617" s="288"/>
      <c r="P617" s="288"/>
    </row>
    <row r="618" spans="1:17" s="222" customFormat="1" x14ac:dyDescent="0.2">
      <c r="A618" s="259">
        <f>A616+1</f>
        <v>18</v>
      </c>
      <c r="C618" s="286" t="s">
        <v>209</v>
      </c>
      <c r="D618" s="512"/>
      <c r="E618" s="476">
        <f>'C'!D76</f>
        <v>49.5</v>
      </c>
      <c r="F618" s="476">
        <f>'C'!E76</f>
        <v>58.7</v>
      </c>
      <c r="G618" s="476">
        <f>'C'!F76</f>
        <v>42</v>
      </c>
      <c r="H618" s="476">
        <f>'C'!G76</f>
        <v>20.7</v>
      </c>
      <c r="I618" s="476">
        <f>'C'!H76</f>
        <v>11.2</v>
      </c>
      <c r="J618" s="476">
        <f>'C'!I76</f>
        <v>4</v>
      </c>
      <c r="K618" s="476">
        <f>'C'!J76</f>
        <v>2.6</v>
      </c>
      <c r="L618" s="476">
        <f>'C'!K76</f>
        <v>2.8</v>
      </c>
      <c r="M618" s="476">
        <f>'C'!L76</f>
        <v>3</v>
      </c>
      <c r="N618" s="476">
        <f>'C'!M76</f>
        <v>3.9</v>
      </c>
      <c r="O618" s="476">
        <f>'C'!N76</f>
        <v>18.899999999999999</v>
      </c>
      <c r="P618" s="476">
        <f>'C'!O76</f>
        <v>40.299999999999997</v>
      </c>
      <c r="Q618" s="728">
        <f>SUM(E618:P618)</f>
        <v>257.59999999999997</v>
      </c>
    </row>
    <row r="619" spans="1:17" s="222" customFormat="1" x14ac:dyDescent="0.2">
      <c r="A619" s="259">
        <f>A618+1</f>
        <v>19</v>
      </c>
      <c r="C619" s="222" t="s">
        <v>212</v>
      </c>
      <c r="D619" s="782">
        <f>Input!P29</f>
        <v>0.4</v>
      </c>
      <c r="E619" s="427">
        <f t="shared" ref="E619:P619" si="209">ROUND(E618*$D$619,2)</f>
        <v>19.8</v>
      </c>
      <c r="F619" s="427">
        <f t="shared" si="209"/>
        <v>23.48</v>
      </c>
      <c r="G619" s="427">
        <f t="shared" si="209"/>
        <v>16.8</v>
      </c>
      <c r="H619" s="427">
        <f t="shared" si="209"/>
        <v>8.2799999999999994</v>
      </c>
      <c r="I619" s="427">
        <f t="shared" si="209"/>
        <v>4.4800000000000004</v>
      </c>
      <c r="J619" s="427">
        <f t="shared" si="209"/>
        <v>1.6</v>
      </c>
      <c r="K619" s="427">
        <f t="shared" si="209"/>
        <v>1.04</v>
      </c>
      <c r="L619" s="427">
        <f t="shared" si="209"/>
        <v>1.1200000000000001</v>
      </c>
      <c r="M619" s="427">
        <f t="shared" si="209"/>
        <v>1.2</v>
      </c>
      <c r="N619" s="427">
        <f t="shared" si="209"/>
        <v>1.56</v>
      </c>
      <c r="O619" s="427">
        <f t="shared" si="209"/>
        <v>7.56</v>
      </c>
      <c r="P619" s="427">
        <f t="shared" si="209"/>
        <v>16.12</v>
      </c>
      <c r="Q619" s="427">
        <f>SUM(E619:P619)</f>
        <v>103.04000000000002</v>
      </c>
    </row>
    <row r="620" spans="1:17" s="222" customFormat="1" x14ac:dyDescent="0.2">
      <c r="A620" s="259"/>
      <c r="D620" s="286"/>
      <c r="F620" s="288"/>
      <c r="G620" s="469"/>
      <c r="H620" s="288"/>
      <c r="I620" s="293"/>
      <c r="J620" s="288"/>
      <c r="K620" s="288"/>
      <c r="L620" s="288"/>
      <c r="M620" s="288"/>
      <c r="N620" s="288"/>
      <c r="O620" s="288"/>
      <c r="P620" s="288"/>
      <c r="Q620" s="536"/>
    </row>
    <row r="621" spans="1:17" s="222" customFormat="1" x14ac:dyDescent="0.2">
      <c r="A621" s="259">
        <f>A619+1</f>
        <v>20</v>
      </c>
      <c r="C621" s="222" t="s">
        <v>204</v>
      </c>
      <c r="D621" s="286"/>
      <c r="E621" s="427">
        <f t="shared" ref="E621:P621" si="210">E616+E619</f>
        <v>19.8</v>
      </c>
      <c r="F621" s="427">
        <f t="shared" si="210"/>
        <v>23.48</v>
      </c>
      <c r="G621" s="427">
        <f t="shared" si="210"/>
        <v>16.8</v>
      </c>
      <c r="H621" s="427">
        <f t="shared" si="210"/>
        <v>8.2799999999999994</v>
      </c>
      <c r="I621" s="427">
        <f t="shared" si="210"/>
        <v>4.4800000000000004</v>
      </c>
      <c r="J621" s="427">
        <f t="shared" si="210"/>
        <v>1.6</v>
      </c>
      <c r="K621" s="427">
        <f t="shared" si="210"/>
        <v>1.04</v>
      </c>
      <c r="L621" s="427">
        <f t="shared" si="210"/>
        <v>1.1200000000000001</v>
      </c>
      <c r="M621" s="427">
        <f t="shared" si="210"/>
        <v>1.2</v>
      </c>
      <c r="N621" s="427">
        <f t="shared" si="210"/>
        <v>1.56</v>
      </c>
      <c r="O621" s="427">
        <f t="shared" si="210"/>
        <v>7.56</v>
      </c>
      <c r="P621" s="427">
        <f t="shared" si="210"/>
        <v>16.12</v>
      </c>
      <c r="Q621" s="427">
        <f>SUM(E621:P621)</f>
        <v>103.04000000000002</v>
      </c>
    </row>
    <row r="622" spans="1:17" s="222" customFormat="1" x14ac:dyDescent="0.2">
      <c r="A622" s="259"/>
      <c r="D622" s="286"/>
      <c r="F622" s="288"/>
      <c r="G622" s="469"/>
      <c r="H622" s="288"/>
      <c r="I622" s="293"/>
      <c r="J622" s="288"/>
      <c r="K622" s="288"/>
      <c r="L622" s="288"/>
      <c r="M622" s="288"/>
      <c r="N622" s="288"/>
      <c r="O622" s="288"/>
      <c r="P622" s="288"/>
      <c r="Q622" s="469"/>
    </row>
    <row r="623" spans="1:17" s="222" customFormat="1" x14ac:dyDescent="0.2">
      <c r="A623" s="259">
        <f>A621+1</f>
        <v>21</v>
      </c>
      <c r="C623" s="222" t="s">
        <v>151</v>
      </c>
      <c r="D623" s="783">
        <v>0</v>
      </c>
      <c r="E623" s="510">
        <v>0</v>
      </c>
      <c r="F623" s="510">
        <v>0</v>
      </c>
      <c r="G623" s="510">
        <v>0</v>
      </c>
      <c r="H623" s="510">
        <v>0</v>
      </c>
      <c r="I623" s="510">
        <v>0</v>
      </c>
      <c r="J623" s="510">
        <v>0</v>
      </c>
      <c r="K623" s="510">
        <v>0</v>
      </c>
      <c r="L623" s="510">
        <v>0</v>
      </c>
      <c r="M623" s="510">
        <v>0</v>
      </c>
      <c r="N623" s="510">
        <v>0</v>
      </c>
      <c r="O623" s="510">
        <v>0</v>
      </c>
      <c r="P623" s="510">
        <v>0</v>
      </c>
      <c r="Q623" s="427">
        <f>SUM(E623:P623)</f>
        <v>0</v>
      </c>
    </row>
    <row r="624" spans="1:17" s="222" customFormat="1" x14ac:dyDescent="0.2">
      <c r="A624" s="259"/>
      <c r="D624" s="286"/>
      <c r="F624" s="288"/>
      <c r="G624" s="469"/>
      <c r="H624" s="288"/>
      <c r="I624" s="293"/>
      <c r="J624" s="288"/>
      <c r="K624" s="288"/>
      <c r="L624" s="288"/>
      <c r="M624" s="288"/>
      <c r="N624" s="288"/>
      <c r="O624" s="288"/>
      <c r="P624" s="288"/>
    </row>
    <row r="625" spans="1:17" s="222" customFormat="1" ht="10.8" thickBot="1" x14ac:dyDescent="0.25">
      <c r="A625" s="717">
        <f>A623+1</f>
        <v>22</v>
      </c>
      <c r="B625" s="489"/>
      <c r="C625" s="718" t="s">
        <v>205</v>
      </c>
      <c r="D625" s="719"/>
      <c r="E625" s="492">
        <f t="shared" ref="E625:P625" si="211">E621+E623</f>
        <v>19.8</v>
      </c>
      <c r="F625" s="492">
        <f t="shared" si="211"/>
        <v>23.48</v>
      </c>
      <c r="G625" s="492">
        <f t="shared" si="211"/>
        <v>16.8</v>
      </c>
      <c r="H625" s="492">
        <f t="shared" si="211"/>
        <v>8.2799999999999994</v>
      </c>
      <c r="I625" s="492">
        <f t="shared" si="211"/>
        <v>4.4800000000000004</v>
      </c>
      <c r="J625" s="492">
        <f t="shared" si="211"/>
        <v>1.6</v>
      </c>
      <c r="K625" s="492">
        <f t="shared" si="211"/>
        <v>1.04</v>
      </c>
      <c r="L625" s="492">
        <f t="shared" si="211"/>
        <v>1.1200000000000001</v>
      </c>
      <c r="M625" s="492">
        <f t="shared" si="211"/>
        <v>1.2</v>
      </c>
      <c r="N625" s="492">
        <f t="shared" si="211"/>
        <v>1.56</v>
      </c>
      <c r="O625" s="492">
        <f t="shared" si="211"/>
        <v>7.56</v>
      </c>
      <c r="P625" s="492">
        <f t="shared" si="211"/>
        <v>16.12</v>
      </c>
      <c r="Q625" s="492">
        <f>SUM(E625:P625)</f>
        <v>103.04000000000002</v>
      </c>
    </row>
    <row r="626" spans="1:17" s="222" customFormat="1" ht="10.8" thickTop="1" x14ac:dyDescent="0.2">
      <c r="A626" s="259"/>
      <c r="D626" s="286"/>
      <c r="F626" s="288"/>
      <c r="G626" s="469"/>
      <c r="H626" s="288"/>
      <c r="I626" s="293"/>
      <c r="J626" s="288"/>
      <c r="K626" s="288"/>
      <c r="L626" s="288"/>
      <c r="M626" s="288"/>
      <c r="N626" s="288"/>
      <c r="O626" s="288"/>
      <c r="P626" s="288"/>
    </row>
    <row r="627" spans="1:17" s="222" customFormat="1" x14ac:dyDescent="0.2">
      <c r="A627" s="259"/>
      <c r="D627" s="286"/>
      <c r="F627" s="288"/>
      <c r="G627" s="469"/>
      <c r="H627" s="288"/>
      <c r="I627" s="293"/>
      <c r="J627" s="288"/>
      <c r="K627" s="288"/>
      <c r="L627" s="288"/>
      <c r="M627" s="288"/>
      <c r="N627" s="288"/>
      <c r="O627" s="288"/>
      <c r="P627" s="288"/>
      <c r="Q627" s="469"/>
    </row>
    <row r="628" spans="1:17" s="222" customFormat="1" x14ac:dyDescent="0.2">
      <c r="A628" s="622" t="str">
        <f>$A$265</f>
        <v>[1] Reflects Normalized Volumes.</v>
      </c>
      <c r="D628" s="286"/>
      <c r="F628" s="288"/>
      <c r="G628" s="469"/>
      <c r="H628" s="288"/>
      <c r="I628" s="293"/>
      <c r="J628" s="288"/>
      <c r="K628" s="288"/>
      <c r="L628" s="288"/>
      <c r="M628" s="288"/>
      <c r="N628" s="288"/>
      <c r="O628" s="288"/>
      <c r="P628" s="288"/>
    </row>
    <row r="629" spans="1:17" s="222" customFormat="1" x14ac:dyDescent="0.2">
      <c r="A629" s="995" t="str">
        <f>CONAME</f>
        <v>Columbia Gas of Kentucky, Inc.</v>
      </c>
      <c r="B629" s="995"/>
      <c r="C629" s="995"/>
      <c r="D629" s="995"/>
      <c r="E629" s="995"/>
      <c r="F629" s="995"/>
      <c r="G629" s="995"/>
      <c r="H629" s="995"/>
      <c r="I629" s="995"/>
      <c r="J629" s="995"/>
      <c r="K629" s="995"/>
      <c r="L629" s="995"/>
      <c r="M629" s="995"/>
      <c r="N629" s="995"/>
      <c r="O629" s="995"/>
      <c r="P629" s="995"/>
      <c r="Q629" s="995"/>
    </row>
    <row r="630" spans="1:17" s="222" customFormat="1" x14ac:dyDescent="0.2">
      <c r="A630" s="978" t="str">
        <f>case</f>
        <v>Case No. 2016-00162</v>
      </c>
      <c r="B630" s="978"/>
      <c r="C630" s="978"/>
      <c r="D630" s="978"/>
      <c r="E630" s="978"/>
      <c r="F630" s="978"/>
      <c r="G630" s="978"/>
      <c r="H630" s="978"/>
      <c r="I630" s="978"/>
      <c r="J630" s="978"/>
      <c r="K630" s="978"/>
      <c r="L630" s="978"/>
      <c r="M630" s="978"/>
      <c r="N630" s="978"/>
      <c r="O630" s="978"/>
      <c r="P630" s="978"/>
      <c r="Q630" s="978"/>
    </row>
    <row r="631" spans="1:17" s="222" customFormat="1" x14ac:dyDescent="0.2">
      <c r="A631" s="996" t="s">
        <v>200</v>
      </c>
      <c r="B631" s="996"/>
      <c r="C631" s="996"/>
      <c r="D631" s="996"/>
      <c r="E631" s="996"/>
      <c r="F631" s="996"/>
      <c r="G631" s="996"/>
      <c r="H631" s="996"/>
      <c r="I631" s="996"/>
      <c r="J631" s="996"/>
      <c r="K631" s="996"/>
      <c r="L631" s="996"/>
      <c r="M631" s="996"/>
      <c r="N631" s="996"/>
      <c r="O631" s="996"/>
      <c r="P631" s="996"/>
      <c r="Q631" s="996"/>
    </row>
    <row r="632" spans="1:17" s="222" customFormat="1" x14ac:dyDescent="0.2">
      <c r="A632" s="995" t="str">
        <f>TYDESC</f>
        <v>For the 12 Months Ended December 31, 2017</v>
      </c>
      <c r="B632" s="995"/>
      <c r="C632" s="995"/>
      <c r="D632" s="995"/>
      <c r="E632" s="995"/>
      <c r="F632" s="995"/>
      <c r="G632" s="995"/>
      <c r="H632" s="995"/>
      <c r="I632" s="995"/>
      <c r="J632" s="995"/>
      <c r="K632" s="995"/>
      <c r="L632" s="995"/>
      <c r="M632" s="995"/>
      <c r="N632" s="995"/>
      <c r="O632" s="995"/>
      <c r="P632" s="995"/>
      <c r="Q632" s="995"/>
    </row>
    <row r="633" spans="1:17" s="222" customFormat="1" x14ac:dyDescent="0.2">
      <c r="A633" s="997" t="s">
        <v>39</v>
      </c>
      <c r="B633" s="997"/>
      <c r="C633" s="997"/>
      <c r="D633" s="997"/>
      <c r="E633" s="997"/>
      <c r="F633" s="997"/>
      <c r="G633" s="997"/>
      <c r="H633" s="997"/>
      <c r="I633" s="997"/>
      <c r="J633" s="997"/>
      <c r="K633" s="997"/>
      <c r="L633" s="997"/>
      <c r="M633" s="997"/>
      <c r="N633" s="997"/>
      <c r="O633" s="997"/>
      <c r="P633" s="997"/>
      <c r="Q633" s="997"/>
    </row>
    <row r="634" spans="1:17" s="222" customFormat="1" x14ac:dyDescent="0.2">
      <c r="A634" s="711" t="str">
        <f>$A$52</f>
        <v>Data: __ Base Period _X_ Forecasted Period</v>
      </c>
      <c r="D634" s="286"/>
      <c r="F634" s="288"/>
      <c r="G634" s="469"/>
      <c r="H634" s="288"/>
      <c r="I634" s="293"/>
      <c r="J634" s="288"/>
      <c r="K634" s="288"/>
      <c r="L634" s="288"/>
      <c r="M634" s="288"/>
      <c r="N634" s="288"/>
      <c r="O634" s="288"/>
      <c r="P634" s="288"/>
    </row>
    <row r="635" spans="1:17" s="222" customFormat="1" x14ac:dyDescent="0.2">
      <c r="A635" s="711" t="str">
        <f>$A$53</f>
        <v>Type of Filing: X Original _ Update _ Revised</v>
      </c>
      <c r="D635" s="286"/>
      <c r="F635" s="288"/>
      <c r="G635" s="469"/>
      <c r="H635" s="288"/>
      <c r="I635" s="293"/>
      <c r="J635" s="288"/>
      <c r="K635" s="288"/>
      <c r="L635" s="288"/>
      <c r="M635" s="288"/>
      <c r="N635" s="288"/>
      <c r="O635" s="288"/>
      <c r="P635" s="288"/>
      <c r="Q635" s="720" t="str">
        <f>$Q$53</f>
        <v>Schedule M-2.3</v>
      </c>
    </row>
    <row r="636" spans="1:17" s="222" customFormat="1" x14ac:dyDescent="0.2">
      <c r="A636" s="711" t="str">
        <f>$A$54</f>
        <v>Work Paper Reference No(s):</v>
      </c>
      <c r="D636" s="286"/>
      <c r="F636" s="288"/>
      <c r="G636" s="469"/>
      <c r="H636" s="288"/>
      <c r="I636" s="293"/>
      <c r="J636" s="288"/>
      <c r="K636" s="288"/>
      <c r="L636" s="288"/>
      <c r="M636" s="288"/>
      <c r="N636" s="288"/>
      <c r="O636" s="288"/>
      <c r="P636" s="288"/>
      <c r="Q636" s="720" t="s">
        <v>503</v>
      </c>
    </row>
    <row r="637" spans="1:17" s="222" customFormat="1" x14ac:dyDescent="0.2">
      <c r="A637" s="712" t="str">
        <f>$A$55</f>
        <v>12 Months Forecasted</v>
      </c>
      <c r="D637" s="286"/>
      <c r="F637" s="288"/>
      <c r="G637" s="469"/>
      <c r="H637" s="288"/>
      <c r="I637" s="293"/>
      <c r="J637" s="288"/>
      <c r="K637" s="288"/>
      <c r="L637" s="288"/>
      <c r="M637" s="288"/>
      <c r="N637" s="288"/>
      <c r="O637" s="288"/>
      <c r="P637" s="288"/>
      <c r="Q637" s="720" t="str">
        <f>Witness</f>
        <v>Witness:  M. J. Bell</v>
      </c>
    </row>
    <row r="638" spans="1:17" s="222" customFormat="1" x14ac:dyDescent="0.2">
      <c r="A638" s="998" t="s">
        <v>293</v>
      </c>
      <c r="B638" s="998"/>
      <c r="C638" s="998"/>
      <c r="D638" s="998"/>
      <c r="E638" s="998"/>
      <c r="F638" s="998"/>
      <c r="G638" s="998"/>
      <c r="H638" s="998"/>
      <c r="I638" s="998"/>
      <c r="J638" s="998"/>
      <c r="K638" s="998"/>
      <c r="L638" s="998"/>
      <c r="M638" s="998"/>
      <c r="N638" s="998"/>
      <c r="O638" s="998"/>
      <c r="P638" s="998"/>
      <c r="Q638" s="998"/>
    </row>
    <row r="639" spans="1:17" s="222" customFormat="1" x14ac:dyDescent="0.2">
      <c r="A639" s="225"/>
      <c r="B639" s="302"/>
      <c r="C639" s="302"/>
      <c r="D639" s="304"/>
      <c r="E639" s="302"/>
      <c r="F639" s="495"/>
      <c r="G639" s="496"/>
      <c r="H639" s="495"/>
      <c r="I639" s="497"/>
      <c r="J639" s="495"/>
      <c r="K639" s="495"/>
      <c r="L639" s="495"/>
      <c r="M639" s="495"/>
      <c r="N639" s="495"/>
      <c r="O639" s="495"/>
      <c r="P639" s="495"/>
      <c r="Q639" s="302"/>
    </row>
    <row r="640" spans="1:17" s="222" customFormat="1" x14ac:dyDescent="0.2">
      <c r="A640" s="410" t="s">
        <v>1</v>
      </c>
      <c r="B640" s="410" t="s">
        <v>0</v>
      </c>
      <c r="C640" s="410" t="s">
        <v>41</v>
      </c>
      <c r="D640" s="416" t="s">
        <v>30</v>
      </c>
      <c r="E640" s="410"/>
      <c r="F640" s="722"/>
      <c r="G640" s="725"/>
      <c r="H640" s="722"/>
      <c r="I640" s="726"/>
      <c r="J640" s="722"/>
      <c r="K640" s="722"/>
      <c r="L640" s="722"/>
      <c r="M640" s="722"/>
      <c r="N640" s="722"/>
      <c r="O640" s="722"/>
      <c r="P640" s="722"/>
      <c r="Q640" s="230"/>
    </row>
    <row r="641" spans="1:17" s="222" customFormat="1" x14ac:dyDescent="0.2">
      <c r="A641" s="281" t="s">
        <v>3</v>
      </c>
      <c r="B641" s="281" t="s">
        <v>40</v>
      </c>
      <c r="C641" s="281" t="s">
        <v>4</v>
      </c>
      <c r="D641" s="420" t="s">
        <v>48</v>
      </c>
      <c r="E641" s="421" t="str">
        <f>B!$D$11</f>
        <v>Jan-17</v>
      </c>
      <c r="F641" s="421" t="str">
        <f>B!$E$11</f>
        <v>Feb-17</v>
      </c>
      <c r="G641" s="421" t="str">
        <f>B!$F$11</f>
        <v>Mar-17</v>
      </c>
      <c r="H641" s="421" t="str">
        <f>B!$G$11</f>
        <v>Apr-17</v>
      </c>
      <c r="I641" s="421" t="str">
        <f>B!$H$11</f>
        <v>May-17</v>
      </c>
      <c r="J641" s="421" t="str">
        <f>B!$I$11</f>
        <v>Jun-17</v>
      </c>
      <c r="K641" s="421" t="str">
        <f>B!$J$11</f>
        <v>Jul-17</v>
      </c>
      <c r="L641" s="421" t="str">
        <f>B!$K$11</f>
        <v>Aug-17</v>
      </c>
      <c r="M641" s="421" t="str">
        <f>B!$L$11</f>
        <v>Sep-17</v>
      </c>
      <c r="N641" s="421" t="str">
        <f>B!$M$11</f>
        <v>Oct-17</v>
      </c>
      <c r="O641" s="421" t="str">
        <f>B!$N$11</f>
        <v>Nov-17</v>
      </c>
      <c r="P641" s="421" t="str">
        <f>B!$O$11</f>
        <v>Dec-17</v>
      </c>
      <c r="Q641" s="421" t="s">
        <v>9</v>
      </c>
    </row>
    <row r="642" spans="1:17" s="222" customFormat="1" x14ac:dyDescent="0.2">
      <c r="A642" s="410"/>
      <c r="B642" s="229" t="s">
        <v>42</v>
      </c>
      <c r="C642" s="229" t="s">
        <v>43</v>
      </c>
      <c r="D642" s="423" t="s">
        <v>45</v>
      </c>
      <c r="E642" s="424" t="s">
        <v>46</v>
      </c>
      <c r="F642" s="424" t="s">
        <v>49</v>
      </c>
      <c r="G642" s="424" t="s">
        <v>50</v>
      </c>
      <c r="H642" s="424" t="s">
        <v>51</v>
      </c>
      <c r="I642" s="424" t="s">
        <v>52</v>
      </c>
      <c r="J642" s="425" t="s">
        <v>53</v>
      </c>
      <c r="K642" s="425" t="s">
        <v>54</v>
      </c>
      <c r="L642" s="425" t="s">
        <v>55</v>
      </c>
      <c r="M642" s="425" t="s">
        <v>56</v>
      </c>
      <c r="N642" s="425" t="s">
        <v>57</v>
      </c>
      <c r="O642" s="425" t="s">
        <v>58</v>
      </c>
      <c r="P642" s="425" t="s">
        <v>59</v>
      </c>
      <c r="Q642" s="425" t="s">
        <v>203</v>
      </c>
    </row>
    <row r="643" spans="1:17" s="222" customFormat="1" x14ac:dyDescent="0.2">
      <c r="A643" s="259"/>
      <c r="D643" s="286"/>
      <c r="E643" s="230"/>
      <c r="F643" s="727"/>
      <c r="G643" s="723"/>
      <c r="H643" s="727"/>
      <c r="I643" s="724"/>
      <c r="J643" s="727"/>
      <c r="K643" s="727"/>
      <c r="L643" s="727"/>
      <c r="M643" s="727"/>
      <c r="N643" s="727"/>
      <c r="O643" s="727"/>
      <c r="P643" s="727"/>
      <c r="Q643" s="230"/>
    </row>
    <row r="644" spans="1:17" s="222" customFormat="1" x14ac:dyDescent="0.2">
      <c r="A644" s="259">
        <v>1</v>
      </c>
      <c r="B644" s="222" t="str">
        <f>B154</f>
        <v>GSO</v>
      </c>
      <c r="C644" s="222" t="str">
        <f>C154</f>
        <v>General Service - Commercial</v>
      </c>
      <c r="D644" s="286"/>
      <c r="F644" s="288"/>
      <c r="G644" s="469"/>
      <c r="H644" s="288"/>
      <c r="I644" s="293"/>
      <c r="J644" s="288"/>
      <c r="K644" s="288"/>
      <c r="L644" s="288"/>
      <c r="M644" s="288"/>
      <c r="N644" s="288"/>
      <c r="O644" s="288"/>
      <c r="P644" s="288"/>
    </row>
    <row r="645" spans="1:17" s="222" customFormat="1" x14ac:dyDescent="0.2">
      <c r="A645" s="259"/>
      <c r="D645" s="286"/>
      <c r="F645" s="288"/>
      <c r="G645" s="469"/>
      <c r="H645" s="288"/>
      <c r="I645" s="293"/>
      <c r="J645" s="288"/>
      <c r="K645" s="288"/>
      <c r="L645" s="288"/>
      <c r="M645" s="288"/>
      <c r="N645" s="288"/>
      <c r="O645" s="288"/>
      <c r="P645" s="288"/>
    </row>
    <row r="646" spans="1:17" s="222" customFormat="1" x14ac:dyDescent="0.2">
      <c r="A646" s="259">
        <f>A644+1</f>
        <v>2</v>
      </c>
      <c r="C646" s="262" t="s">
        <v>111</v>
      </c>
      <c r="D646" s="286"/>
      <c r="F646" s="288"/>
      <c r="G646" s="469"/>
      <c r="H646" s="288"/>
      <c r="I646" s="293"/>
      <c r="J646" s="288"/>
      <c r="K646" s="288"/>
      <c r="L646" s="288"/>
      <c r="M646" s="288"/>
      <c r="N646" s="288"/>
      <c r="O646" s="288"/>
      <c r="P646" s="288"/>
    </row>
    <row r="647" spans="1:17" s="222" customFormat="1" x14ac:dyDescent="0.2">
      <c r="A647" s="259"/>
      <c r="C647" s="262"/>
      <c r="D647" s="286"/>
      <c r="F647" s="288"/>
      <c r="G647" s="469"/>
      <c r="H647" s="288"/>
      <c r="I647" s="293"/>
      <c r="J647" s="288"/>
      <c r="K647" s="288"/>
      <c r="L647" s="288"/>
      <c r="M647" s="288"/>
      <c r="N647" s="288"/>
      <c r="O647" s="288"/>
      <c r="P647" s="288"/>
    </row>
    <row r="648" spans="1:17" s="222" customFormat="1" x14ac:dyDescent="0.2">
      <c r="A648" s="259">
        <f>A646+1</f>
        <v>3</v>
      </c>
      <c r="C648" s="222" t="s">
        <v>202</v>
      </c>
      <c r="D648" s="286"/>
      <c r="E648" s="472">
        <f>B!D81</f>
        <v>10207</v>
      </c>
      <c r="F648" s="472">
        <f>B!E81</f>
        <v>10271</v>
      </c>
      <c r="G648" s="472">
        <f>B!F81</f>
        <v>10035</v>
      </c>
      <c r="H648" s="472">
        <f>B!G81</f>
        <v>10003</v>
      </c>
      <c r="I648" s="472">
        <f>B!H81</f>
        <v>9882</v>
      </c>
      <c r="J648" s="472">
        <f>B!I81</f>
        <v>9780</v>
      </c>
      <c r="K648" s="472">
        <f>B!J81</f>
        <v>9783</v>
      </c>
      <c r="L648" s="472">
        <f>B!K81</f>
        <v>9770</v>
      </c>
      <c r="M648" s="472">
        <f>B!L81</f>
        <v>9739</v>
      </c>
      <c r="N648" s="472">
        <f>B!M81</f>
        <v>9772</v>
      </c>
      <c r="O648" s="472">
        <f>B!N81</f>
        <v>9915</v>
      </c>
      <c r="P648" s="472">
        <f>B!O81</f>
        <v>10076</v>
      </c>
      <c r="Q648" s="472">
        <f>SUM(E648:P648)</f>
        <v>119233</v>
      </c>
    </row>
    <row r="649" spans="1:17" s="222" customFormat="1" x14ac:dyDescent="0.2">
      <c r="A649" s="259">
        <f>A648+1</f>
        <v>4</v>
      </c>
      <c r="C649" s="222" t="s">
        <v>210</v>
      </c>
      <c r="D649" s="781">
        <f>Input!U30</f>
        <v>44.69</v>
      </c>
      <c r="E649" s="427">
        <f t="shared" ref="E649:P649" si="212">ROUND(E648*$D$649,2)</f>
        <v>456150.83</v>
      </c>
      <c r="F649" s="427">
        <f t="shared" si="212"/>
        <v>459010.99</v>
      </c>
      <c r="G649" s="427">
        <f t="shared" si="212"/>
        <v>448464.15</v>
      </c>
      <c r="H649" s="427">
        <f t="shared" si="212"/>
        <v>447034.07</v>
      </c>
      <c r="I649" s="427">
        <f t="shared" si="212"/>
        <v>441626.58</v>
      </c>
      <c r="J649" s="427">
        <f t="shared" si="212"/>
        <v>437068.2</v>
      </c>
      <c r="K649" s="427">
        <f t="shared" si="212"/>
        <v>437202.27</v>
      </c>
      <c r="L649" s="427">
        <f t="shared" si="212"/>
        <v>436621.3</v>
      </c>
      <c r="M649" s="427">
        <f t="shared" si="212"/>
        <v>435235.91</v>
      </c>
      <c r="N649" s="427">
        <f t="shared" si="212"/>
        <v>436710.68</v>
      </c>
      <c r="O649" s="427">
        <f t="shared" si="212"/>
        <v>443101.35</v>
      </c>
      <c r="P649" s="427">
        <f t="shared" si="212"/>
        <v>450296.44</v>
      </c>
      <c r="Q649" s="427">
        <f>SUM(E649:P649)</f>
        <v>5328522.7700000005</v>
      </c>
    </row>
    <row r="650" spans="1:17" s="222" customFormat="1" x14ac:dyDescent="0.2">
      <c r="A650" s="259">
        <f>A649+1</f>
        <v>5</v>
      </c>
      <c r="C650" s="222" t="s">
        <v>211</v>
      </c>
      <c r="D650" s="781">
        <f>Input!W30</f>
        <v>0</v>
      </c>
      <c r="E650" s="427">
        <f t="shared" ref="E650:P650" si="213">ROUND(E648*$D$650,2)</f>
        <v>0</v>
      </c>
      <c r="F650" s="427">
        <f t="shared" si="213"/>
        <v>0</v>
      </c>
      <c r="G650" s="427">
        <f t="shared" si="213"/>
        <v>0</v>
      </c>
      <c r="H650" s="427">
        <f t="shared" si="213"/>
        <v>0</v>
      </c>
      <c r="I650" s="427">
        <f t="shared" si="213"/>
        <v>0</v>
      </c>
      <c r="J650" s="427">
        <f t="shared" si="213"/>
        <v>0</v>
      </c>
      <c r="K650" s="427">
        <f t="shared" si="213"/>
        <v>0</v>
      </c>
      <c r="L650" s="427">
        <f t="shared" si="213"/>
        <v>0</v>
      </c>
      <c r="M650" s="427">
        <f t="shared" si="213"/>
        <v>0</v>
      </c>
      <c r="N650" s="427">
        <f t="shared" si="213"/>
        <v>0</v>
      </c>
      <c r="O650" s="427">
        <f t="shared" si="213"/>
        <v>0</v>
      </c>
      <c r="P650" s="427">
        <f t="shared" si="213"/>
        <v>0</v>
      </c>
      <c r="Q650" s="427">
        <f>SUM(E650:P650)</f>
        <v>0</v>
      </c>
    </row>
    <row r="651" spans="1:17" s="222" customFormat="1" x14ac:dyDescent="0.2">
      <c r="A651" s="259"/>
      <c r="D651" s="731"/>
      <c r="F651" s="288"/>
      <c r="G651" s="469"/>
      <c r="H651" s="288"/>
      <c r="I651" s="293"/>
      <c r="J651" s="288"/>
      <c r="K651" s="288"/>
      <c r="L651" s="288"/>
      <c r="M651" s="288"/>
      <c r="N651" s="288"/>
      <c r="O651" s="288"/>
      <c r="P651" s="288"/>
    </row>
    <row r="652" spans="1:17" s="222" customFormat="1" x14ac:dyDescent="0.2">
      <c r="A652" s="259">
        <f>A650+1</f>
        <v>6</v>
      </c>
      <c r="C652" s="222" t="s">
        <v>209</v>
      </c>
      <c r="D652" s="731"/>
      <c r="E652" s="514"/>
      <c r="F652" s="288"/>
      <c r="G652" s="469"/>
      <c r="H652" s="288"/>
      <c r="I652" s="293"/>
      <c r="J652" s="288"/>
      <c r="K652" s="288"/>
      <c r="L652" s="288"/>
      <c r="M652" s="288"/>
      <c r="N652" s="288"/>
      <c r="O652" s="288"/>
      <c r="P652" s="288"/>
    </row>
    <row r="653" spans="1:17" s="222" customFormat="1" x14ac:dyDescent="0.2">
      <c r="A653" s="259">
        <f>A652+1</f>
        <v>7</v>
      </c>
      <c r="C653" s="222" t="str">
        <f>'C'!B80</f>
        <v xml:space="preserve">    First 50 Mcf</v>
      </c>
      <c r="D653" s="731"/>
      <c r="E653" s="476">
        <f>'C'!D92</f>
        <v>267674</v>
      </c>
      <c r="F653" s="476">
        <f>'C'!E92</f>
        <v>278751.2</v>
      </c>
      <c r="G653" s="476">
        <f>'C'!F92</f>
        <v>227896.5</v>
      </c>
      <c r="H653" s="476">
        <f>'C'!G92</f>
        <v>149381.79999999999</v>
      </c>
      <c r="I653" s="476">
        <f>'C'!H92</f>
        <v>76805.7</v>
      </c>
      <c r="J653" s="476">
        <f>'C'!I92</f>
        <v>48735.1</v>
      </c>
      <c r="K653" s="476">
        <f>'C'!J92</f>
        <v>38320.5</v>
      </c>
      <c r="L653" s="476">
        <f>'C'!K92</f>
        <v>36243</v>
      </c>
      <c r="M653" s="476">
        <f>'C'!L92</f>
        <v>36349</v>
      </c>
      <c r="N653" s="476">
        <f>'C'!M92</f>
        <v>49862.3</v>
      </c>
      <c r="O653" s="476">
        <f>'C'!N92</f>
        <v>96888</v>
      </c>
      <c r="P653" s="476">
        <f>'C'!O92</f>
        <v>195908.3</v>
      </c>
      <c r="Q653" s="476">
        <f>SUM(E653:P653)</f>
        <v>1502815.4000000001</v>
      </c>
    </row>
    <row r="654" spans="1:17" s="222" customFormat="1" x14ac:dyDescent="0.2">
      <c r="A654" s="259">
        <f>A653+1</f>
        <v>8</v>
      </c>
      <c r="C654" s="222" t="str">
        <f>'C'!B81</f>
        <v xml:space="preserve">    Next 350 Mcf</v>
      </c>
      <c r="D654" s="731"/>
      <c r="E654" s="476">
        <f>'C'!D93</f>
        <v>283489.2</v>
      </c>
      <c r="F654" s="476">
        <f>'C'!E93</f>
        <v>279296.2</v>
      </c>
      <c r="G654" s="476">
        <f>'C'!F93</f>
        <v>181833.2</v>
      </c>
      <c r="H654" s="476">
        <f>'C'!G93</f>
        <v>106946.4</v>
      </c>
      <c r="I654" s="476">
        <f>'C'!H93</f>
        <v>47813</v>
      </c>
      <c r="J654" s="476">
        <f>'C'!I93</f>
        <v>28650.6</v>
      </c>
      <c r="K654" s="476">
        <f>'C'!J93</f>
        <v>16633.3</v>
      </c>
      <c r="L654" s="476">
        <f>'C'!K93</f>
        <v>15250.7</v>
      </c>
      <c r="M654" s="476">
        <f>'C'!L93</f>
        <v>14035.7</v>
      </c>
      <c r="N654" s="476">
        <f>'C'!M93</f>
        <v>24169.7</v>
      </c>
      <c r="O654" s="476">
        <f>'C'!N93</f>
        <v>64078</v>
      </c>
      <c r="P654" s="476">
        <f>'C'!O93</f>
        <v>176923</v>
      </c>
      <c r="Q654" s="476">
        <f>SUM(E654:P654)</f>
        <v>1239119</v>
      </c>
    </row>
    <row r="655" spans="1:17" s="222" customFormat="1" x14ac:dyDescent="0.2">
      <c r="A655" s="259">
        <f>A654+1</f>
        <v>9</v>
      </c>
      <c r="C655" s="222" t="str">
        <f>'C'!B82</f>
        <v xml:space="preserve">    Next 600 Mcf</v>
      </c>
      <c r="D655" s="731"/>
      <c r="E655" s="476">
        <f>'C'!D94</f>
        <v>79219.5</v>
      </c>
      <c r="F655" s="476">
        <f>'C'!E94</f>
        <v>70800.100000000006</v>
      </c>
      <c r="G655" s="476">
        <f>'C'!F94</f>
        <v>38109.599999999999</v>
      </c>
      <c r="H655" s="476">
        <f>'C'!G94</f>
        <v>16494.099999999999</v>
      </c>
      <c r="I655" s="476">
        <f>'C'!H94</f>
        <v>7331.2</v>
      </c>
      <c r="J655" s="476">
        <f>'C'!I94</f>
        <v>3286.7</v>
      </c>
      <c r="K655" s="476">
        <f>'C'!J94</f>
        <v>1774.7</v>
      </c>
      <c r="L655" s="476">
        <f>'C'!K94</f>
        <v>1292</v>
      </c>
      <c r="M655" s="476">
        <f>'C'!L94</f>
        <v>1416.5</v>
      </c>
      <c r="N655" s="476">
        <f>'C'!M94</f>
        <v>3112.1</v>
      </c>
      <c r="O655" s="476">
        <f>'C'!N94</f>
        <v>8498.7999999999993</v>
      </c>
      <c r="P655" s="476">
        <f>'C'!O94</f>
        <v>39805.4</v>
      </c>
      <c r="Q655" s="476">
        <f>SUM(E655:P655)</f>
        <v>271140.70000000007</v>
      </c>
    </row>
    <row r="656" spans="1:17" s="222" customFormat="1" x14ac:dyDescent="0.2">
      <c r="A656" s="259">
        <f>A655+1</f>
        <v>10</v>
      </c>
      <c r="C656" s="222" t="str">
        <f>'C'!B83</f>
        <v xml:space="preserve">    Over 1,000 Mcf</v>
      </c>
      <c r="D656" s="731"/>
      <c r="E656" s="515">
        <f>'C'!D95</f>
        <v>30357.3</v>
      </c>
      <c r="F656" s="515">
        <f>'C'!E95</f>
        <v>26213.4</v>
      </c>
      <c r="G656" s="515">
        <f>'C'!F95</f>
        <v>9008.2000000000007</v>
      </c>
      <c r="H656" s="515">
        <f>'C'!G95</f>
        <v>4479.6000000000004</v>
      </c>
      <c r="I656" s="515">
        <f>'C'!H95</f>
        <v>2530.3000000000002</v>
      </c>
      <c r="J656" s="515">
        <f>'C'!I95</f>
        <v>45.9</v>
      </c>
      <c r="K656" s="515">
        <f>'C'!J95</f>
        <v>0</v>
      </c>
      <c r="L656" s="515">
        <f>'C'!K95</f>
        <v>0</v>
      </c>
      <c r="M656" s="515">
        <f>'C'!L95</f>
        <v>0</v>
      </c>
      <c r="N656" s="515">
        <f>'C'!M95</f>
        <v>0</v>
      </c>
      <c r="O656" s="515">
        <f>'C'!N95</f>
        <v>1571.1</v>
      </c>
      <c r="P656" s="515">
        <f>'C'!O95</f>
        <v>10934.2</v>
      </c>
      <c r="Q656" s="515">
        <f>SUM(E656:P656)</f>
        <v>85140</v>
      </c>
    </row>
    <row r="657" spans="1:17" s="222" customFormat="1" x14ac:dyDescent="0.2">
      <c r="A657" s="259"/>
      <c r="D657" s="731"/>
      <c r="E657" s="476">
        <f t="shared" ref="E657:P657" si="214">SUM(E653:E656)</f>
        <v>660740</v>
      </c>
      <c r="F657" s="476">
        <f t="shared" si="214"/>
        <v>655060.9</v>
      </c>
      <c r="G657" s="476">
        <f t="shared" si="214"/>
        <v>456847.5</v>
      </c>
      <c r="H657" s="476">
        <f t="shared" si="214"/>
        <v>277301.89999999997</v>
      </c>
      <c r="I657" s="476">
        <f t="shared" si="214"/>
        <v>134480.19999999998</v>
      </c>
      <c r="J657" s="476">
        <f t="shared" si="214"/>
        <v>80718.299999999988</v>
      </c>
      <c r="K657" s="476">
        <f t="shared" si="214"/>
        <v>56728.5</v>
      </c>
      <c r="L657" s="476">
        <f t="shared" si="214"/>
        <v>52785.7</v>
      </c>
      <c r="M657" s="476">
        <f t="shared" si="214"/>
        <v>51801.2</v>
      </c>
      <c r="N657" s="476">
        <f t="shared" si="214"/>
        <v>77144.100000000006</v>
      </c>
      <c r="O657" s="476">
        <f t="shared" si="214"/>
        <v>171035.9</v>
      </c>
      <c r="P657" s="476">
        <f t="shared" si="214"/>
        <v>423570.9</v>
      </c>
      <c r="Q657" s="476">
        <f>SUM(E657:P657)</f>
        <v>3098215.1</v>
      </c>
    </row>
    <row r="658" spans="1:17" s="222" customFormat="1" x14ac:dyDescent="0.2">
      <c r="A658" s="259">
        <f>A656+1</f>
        <v>11</v>
      </c>
      <c r="C658" s="222" t="s">
        <v>207</v>
      </c>
      <c r="D658" s="731"/>
      <c r="F658" s="288"/>
      <c r="G658" s="469"/>
      <c r="H658" s="288"/>
      <c r="I658" s="293"/>
      <c r="J658" s="288"/>
      <c r="K658" s="288"/>
      <c r="L658" s="288"/>
      <c r="M658" s="288"/>
      <c r="N658" s="288"/>
      <c r="O658" s="288"/>
      <c r="P658" s="288"/>
      <c r="Q658" s="536"/>
    </row>
    <row r="659" spans="1:17" s="222" customFormat="1" x14ac:dyDescent="0.2">
      <c r="A659" s="259">
        <f>A658+1</f>
        <v>12</v>
      </c>
      <c r="C659" s="222" t="str">
        <f>C653</f>
        <v xml:space="preserve">    First 50 Mcf</v>
      </c>
      <c r="D659" s="782">
        <f>Input!P30</f>
        <v>3.0331999999999999</v>
      </c>
      <c r="E659" s="427">
        <f t="shared" ref="E659:P659" si="215">ROUND(E653*$D$659,2)</f>
        <v>811908.78</v>
      </c>
      <c r="F659" s="427">
        <f t="shared" si="215"/>
        <v>845508.14</v>
      </c>
      <c r="G659" s="427">
        <f t="shared" si="215"/>
        <v>691255.66</v>
      </c>
      <c r="H659" s="427">
        <f t="shared" si="215"/>
        <v>453104.88</v>
      </c>
      <c r="I659" s="427">
        <f t="shared" si="215"/>
        <v>232967.05</v>
      </c>
      <c r="J659" s="427">
        <f t="shared" si="215"/>
        <v>147823.31</v>
      </c>
      <c r="K659" s="427">
        <f t="shared" si="215"/>
        <v>116233.74</v>
      </c>
      <c r="L659" s="427">
        <f t="shared" si="215"/>
        <v>109932.27</v>
      </c>
      <c r="M659" s="427">
        <f t="shared" si="215"/>
        <v>110253.79</v>
      </c>
      <c r="N659" s="427">
        <f t="shared" si="215"/>
        <v>151242.32999999999</v>
      </c>
      <c r="O659" s="427">
        <f t="shared" si="215"/>
        <v>293880.68</v>
      </c>
      <c r="P659" s="427">
        <f t="shared" si="215"/>
        <v>594229.06000000006</v>
      </c>
      <c r="Q659" s="427">
        <f>SUM(E659:P659)</f>
        <v>4558339.6900000004</v>
      </c>
    </row>
    <row r="660" spans="1:17" s="222" customFormat="1" x14ac:dyDescent="0.2">
      <c r="A660" s="259">
        <f>A659+1</f>
        <v>13</v>
      </c>
      <c r="C660" s="222" t="str">
        <f>C654</f>
        <v xml:space="preserve">    Next 350 Mcf</v>
      </c>
      <c r="D660" s="782">
        <f>Input!Q30</f>
        <v>2.3445999999999998</v>
      </c>
      <c r="E660" s="472">
        <f t="shared" ref="E660:P660" si="216">ROUND(E654*$D$660,2)</f>
        <v>664668.78</v>
      </c>
      <c r="F660" s="472">
        <f t="shared" si="216"/>
        <v>654837.87</v>
      </c>
      <c r="G660" s="472">
        <f t="shared" si="216"/>
        <v>426326.12</v>
      </c>
      <c r="H660" s="472">
        <f t="shared" si="216"/>
        <v>250746.53</v>
      </c>
      <c r="I660" s="472">
        <f t="shared" si="216"/>
        <v>112102.36</v>
      </c>
      <c r="J660" s="472">
        <f t="shared" si="216"/>
        <v>67174.2</v>
      </c>
      <c r="K660" s="472">
        <f t="shared" si="216"/>
        <v>38998.44</v>
      </c>
      <c r="L660" s="472">
        <f t="shared" si="216"/>
        <v>35756.79</v>
      </c>
      <c r="M660" s="472">
        <f t="shared" si="216"/>
        <v>32908.1</v>
      </c>
      <c r="N660" s="472">
        <f t="shared" si="216"/>
        <v>56668.28</v>
      </c>
      <c r="O660" s="472">
        <f t="shared" si="216"/>
        <v>150237.28</v>
      </c>
      <c r="P660" s="472">
        <f t="shared" si="216"/>
        <v>414813.67</v>
      </c>
      <c r="Q660" s="472">
        <f>SUM(E660:P660)</f>
        <v>2905238.42</v>
      </c>
    </row>
    <row r="661" spans="1:17" s="222" customFormat="1" x14ac:dyDescent="0.2">
      <c r="A661" s="259">
        <f>A660+1</f>
        <v>14</v>
      </c>
      <c r="C661" s="222" t="str">
        <f>C655</f>
        <v xml:space="preserve">    Next 600 Mcf</v>
      </c>
      <c r="D661" s="782">
        <f>Input!R30</f>
        <v>2.2294</v>
      </c>
      <c r="E661" s="472">
        <f t="shared" ref="E661:O661" si="217">ROUND(E655*$D$661,2)</f>
        <v>176611.95</v>
      </c>
      <c r="F661" s="472">
        <f t="shared" si="217"/>
        <v>157841.74</v>
      </c>
      <c r="G661" s="472">
        <f t="shared" si="217"/>
        <v>84961.54</v>
      </c>
      <c r="H661" s="472">
        <f t="shared" si="217"/>
        <v>36771.949999999997</v>
      </c>
      <c r="I661" s="472">
        <f t="shared" si="217"/>
        <v>16344.18</v>
      </c>
      <c r="J661" s="472">
        <f t="shared" si="217"/>
        <v>7327.37</v>
      </c>
      <c r="K661" s="472">
        <f t="shared" si="217"/>
        <v>3956.52</v>
      </c>
      <c r="L661" s="472">
        <f t="shared" si="217"/>
        <v>2880.38</v>
      </c>
      <c r="M661" s="472">
        <f t="shared" si="217"/>
        <v>3157.95</v>
      </c>
      <c r="N661" s="472">
        <f t="shared" si="217"/>
        <v>6938.12</v>
      </c>
      <c r="O661" s="472">
        <f t="shared" si="217"/>
        <v>18947.22</v>
      </c>
      <c r="P661" s="472">
        <f>ROUND(P655*$D$661,2)</f>
        <v>88742.16</v>
      </c>
      <c r="Q661" s="472">
        <f>SUM(E661:P661)</f>
        <v>604481.08000000007</v>
      </c>
    </row>
    <row r="662" spans="1:17" s="222" customFormat="1" x14ac:dyDescent="0.2">
      <c r="A662" s="259">
        <f>A661+1</f>
        <v>15</v>
      </c>
      <c r="C662" s="222" t="str">
        <f>C656</f>
        <v xml:space="preserve">    Over 1,000 Mcf</v>
      </c>
      <c r="D662" s="782">
        <f>Input!S30</f>
        <v>2.0294000000000003</v>
      </c>
      <c r="E662" s="521">
        <f t="shared" ref="E662:O662" si="218">ROUND(E656*$D$662,2)</f>
        <v>61607.1</v>
      </c>
      <c r="F662" s="521">
        <f t="shared" si="218"/>
        <v>53197.47</v>
      </c>
      <c r="G662" s="521">
        <f t="shared" si="218"/>
        <v>18281.240000000002</v>
      </c>
      <c r="H662" s="521">
        <f t="shared" si="218"/>
        <v>9090.9</v>
      </c>
      <c r="I662" s="521">
        <f t="shared" si="218"/>
        <v>5134.99</v>
      </c>
      <c r="J662" s="521">
        <f t="shared" si="218"/>
        <v>93.15</v>
      </c>
      <c r="K662" s="521">
        <f t="shared" si="218"/>
        <v>0</v>
      </c>
      <c r="L662" s="521">
        <f t="shared" si="218"/>
        <v>0</v>
      </c>
      <c r="M662" s="521">
        <f t="shared" si="218"/>
        <v>0</v>
      </c>
      <c r="N662" s="521">
        <f t="shared" si="218"/>
        <v>0</v>
      </c>
      <c r="O662" s="521">
        <f t="shared" si="218"/>
        <v>3188.39</v>
      </c>
      <c r="P662" s="521">
        <f>ROUND(P656*$D$662,2)</f>
        <v>22189.87</v>
      </c>
      <c r="Q662" s="521">
        <f>SUM(E662:P662)</f>
        <v>172783.11</v>
      </c>
    </row>
    <row r="663" spans="1:17" s="222" customFormat="1" x14ac:dyDescent="0.2">
      <c r="A663" s="259"/>
      <c r="D663" s="731"/>
      <c r="E663" s="427">
        <f t="shared" ref="E663:P663" si="219">SUM(E659:E662)</f>
        <v>1714796.61</v>
      </c>
      <c r="F663" s="427">
        <f t="shared" si="219"/>
        <v>1711385.22</v>
      </c>
      <c r="G663" s="427">
        <f t="shared" si="219"/>
        <v>1220824.56</v>
      </c>
      <c r="H663" s="427">
        <f t="shared" si="219"/>
        <v>749714.26</v>
      </c>
      <c r="I663" s="427">
        <f t="shared" si="219"/>
        <v>366548.57999999996</v>
      </c>
      <c r="J663" s="427">
        <f t="shared" si="219"/>
        <v>222418.03</v>
      </c>
      <c r="K663" s="427">
        <f t="shared" si="219"/>
        <v>159188.69999999998</v>
      </c>
      <c r="L663" s="427">
        <f t="shared" si="219"/>
        <v>148569.44</v>
      </c>
      <c r="M663" s="427">
        <f t="shared" si="219"/>
        <v>146319.84</v>
      </c>
      <c r="N663" s="427">
        <f t="shared" si="219"/>
        <v>214848.72999999998</v>
      </c>
      <c r="O663" s="427">
        <f t="shared" si="219"/>
        <v>466253.56999999995</v>
      </c>
      <c r="P663" s="427">
        <f t="shared" si="219"/>
        <v>1119974.76</v>
      </c>
      <c r="Q663" s="427">
        <f>SUM(E663:P663)</f>
        <v>8240842.3000000007</v>
      </c>
    </row>
    <row r="664" spans="1:17" s="222" customFormat="1" x14ac:dyDescent="0.2">
      <c r="A664" s="259"/>
      <c r="D664" s="731"/>
      <c r="E664" s="288"/>
      <c r="F664" s="288"/>
      <c r="G664" s="288"/>
      <c r="H664" s="288"/>
      <c r="I664" s="288"/>
      <c r="J664" s="288"/>
      <c r="K664" s="288"/>
      <c r="L664" s="288"/>
      <c r="M664" s="288"/>
      <c r="N664" s="288"/>
      <c r="O664" s="288"/>
      <c r="P664" s="288"/>
      <c r="Q664" s="288"/>
    </row>
    <row r="665" spans="1:17" s="222" customFormat="1" x14ac:dyDescent="0.2">
      <c r="A665" s="259">
        <f>A662+1</f>
        <v>16</v>
      </c>
      <c r="C665" s="222" t="s">
        <v>204</v>
      </c>
      <c r="D665" s="731"/>
      <c r="E665" s="427">
        <f t="shared" ref="E665:P665" si="220">E649+E650+E663</f>
        <v>2170947.44</v>
      </c>
      <c r="F665" s="427">
        <f t="shared" si="220"/>
        <v>2170396.21</v>
      </c>
      <c r="G665" s="427">
        <f t="shared" si="220"/>
        <v>1669288.71</v>
      </c>
      <c r="H665" s="427">
        <f t="shared" si="220"/>
        <v>1196748.33</v>
      </c>
      <c r="I665" s="427">
        <f t="shared" si="220"/>
        <v>808175.15999999992</v>
      </c>
      <c r="J665" s="427">
        <f t="shared" si="220"/>
        <v>659486.23</v>
      </c>
      <c r="K665" s="427">
        <f t="shared" si="220"/>
        <v>596390.97</v>
      </c>
      <c r="L665" s="427">
        <f t="shared" si="220"/>
        <v>585190.74</v>
      </c>
      <c r="M665" s="427">
        <f t="shared" si="220"/>
        <v>581555.75</v>
      </c>
      <c r="N665" s="427">
        <f t="shared" si="220"/>
        <v>651559.40999999992</v>
      </c>
      <c r="O665" s="427">
        <f t="shared" si="220"/>
        <v>909354.91999999993</v>
      </c>
      <c r="P665" s="427">
        <f t="shared" si="220"/>
        <v>1570271.2</v>
      </c>
      <c r="Q665" s="427">
        <f>SUM(E665:P665)</f>
        <v>13569365.07</v>
      </c>
    </row>
    <row r="666" spans="1:17" s="222" customFormat="1" x14ac:dyDescent="0.2">
      <c r="A666" s="259"/>
      <c r="D666" s="731"/>
      <c r="E666" s="482"/>
      <c r="F666" s="482"/>
      <c r="G666" s="482"/>
      <c r="H666" s="482"/>
      <c r="I666" s="482"/>
      <c r="J666" s="482"/>
      <c r="K666" s="482"/>
      <c r="L666" s="482"/>
      <c r="M666" s="482"/>
      <c r="N666" s="482"/>
      <c r="O666" s="482"/>
      <c r="P666" s="482"/>
      <c r="Q666" s="482"/>
    </row>
    <row r="667" spans="1:17" s="222" customFormat="1" x14ac:dyDescent="0.2">
      <c r="A667" s="259">
        <f>A665+1</f>
        <v>17</v>
      </c>
      <c r="C667" s="222" t="s">
        <v>208</v>
      </c>
      <c r="D667" s="782">
        <f>EGC</f>
        <v>2.2090999999999998</v>
      </c>
      <c r="E667" s="427">
        <f t="shared" ref="E667:P667" si="221">ROUND(E657*$D$667,2)</f>
        <v>1459640.73</v>
      </c>
      <c r="F667" s="427">
        <f t="shared" si="221"/>
        <v>1447095.03</v>
      </c>
      <c r="G667" s="427">
        <f t="shared" si="221"/>
        <v>1009221.81</v>
      </c>
      <c r="H667" s="427">
        <f t="shared" si="221"/>
        <v>612587.63</v>
      </c>
      <c r="I667" s="427">
        <f t="shared" si="221"/>
        <v>297080.21000000002</v>
      </c>
      <c r="J667" s="427">
        <f t="shared" si="221"/>
        <v>178314.8</v>
      </c>
      <c r="K667" s="427">
        <f t="shared" si="221"/>
        <v>125318.93</v>
      </c>
      <c r="L667" s="427">
        <f t="shared" si="221"/>
        <v>116608.89</v>
      </c>
      <c r="M667" s="427">
        <f t="shared" si="221"/>
        <v>114434.03</v>
      </c>
      <c r="N667" s="427">
        <f t="shared" si="221"/>
        <v>170419.03</v>
      </c>
      <c r="O667" s="427">
        <f t="shared" si="221"/>
        <v>377835.41</v>
      </c>
      <c r="P667" s="427">
        <f t="shared" si="221"/>
        <v>935710.48</v>
      </c>
      <c r="Q667" s="427">
        <f>SUM(E667:P667)</f>
        <v>6844266.9800000004</v>
      </c>
    </row>
    <row r="668" spans="1:17" s="222" customFormat="1" x14ac:dyDescent="0.2">
      <c r="A668" s="259"/>
      <c r="D668" s="731"/>
      <c r="E668" s="482"/>
      <c r="F668" s="482"/>
      <c r="G668" s="482"/>
      <c r="H668" s="482"/>
      <c r="I668" s="482"/>
      <c r="J668" s="482"/>
      <c r="K668" s="482"/>
      <c r="L668" s="482"/>
      <c r="M668" s="482"/>
      <c r="N668" s="482"/>
      <c r="O668" s="482"/>
      <c r="P668" s="482"/>
      <c r="Q668" s="482"/>
    </row>
    <row r="669" spans="1:17" s="222" customFormat="1" x14ac:dyDescent="0.2">
      <c r="A669" s="713">
        <f>A667+1</f>
        <v>18</v>
      </c>
      <c r="B669" s="446"/>
      <c r="C669" s="446" t="s">
        <v>206</v>
      </c>
      <c r="D669" s="732"/>
      <c r="E669" s="450">
        <f t="shared" ref="E669:P669" si="222">E665+E667</f>
        <v>3630588.17</v>
      </c>
      <c r="F669" s="450">
        <f t="shared" si="222"/>
        <v>3617491.24</v>
      </c>
      <c r="G669" s="450">
        <f t="shared" si="222"/>
        <v>2678510.52</v>
      </c>
      <c r="H669" s="450">
        <f t="shared" si="222"/>
        <v>1809335.96</v>
      </c>
      <c r="I669" s="450">
        <f t="shared" si="222"/>
        <v>1105255.3699999999</v>
      </c>
      <c r="J669" s="450">
        <f t="shared" si="222"/>
        <v>837801.03</v>
      </c>
      <c r="K669" s="450">
        <f t="shared" si="222"/>
        <v>721709.89999999991</v>
      </c>
      <c r="L669" s="450">
        <f t="shared" si="222"/>
        <v>701799.63</v>
      </c>
      <c r="M669" s="450">
        <f t="shared" si="222"/>
        <v>695989.78</v>
      </c>
      <c r="N669" s="450">
        <f t="shared" si="222"/>
        <v>821978.44</v>
      </c>
      <c r="O669" s="450">
        <f t="shared" si="222"/>
        <v>1287190.3299999998</v>
      </c>
      <c r="P669" s="450">
        <f t="shared" si="222"/>
        <v>2505981.6799999997</v>
      </c>
      <c r="Q669" s="450">
        <f>SUM(E669:P669)</f>
        <v>20413632.049999997</v>
      </c>
    </row>
    <row r="670" spans="1:17" s="222" customFormat="1" x14ac:dyDescent="0.2">
      <c r="A670" s="259"/>
      <c r="D670" s="733"/>
      <c r="F670" s="288"/>
      <c r="G670" s="469"/>
      <c r="H670" s="288"/>
      <c r="I670" s="293"/>
      <c r="J670" s="288"/>
      <c r="K670" s="288"/>
      <c r="L670" s="288"/>
      <c r="M670" s="288"/>
      <c r="N670" s="288"/>
      <c r="O670" s="288"/>
      <c r="P670" s="288"/>
      <c r="Q670" s="536"/>
    </row>
    <row r="671" spans="1:17" s="222" customFormat="1" x14ac:dyDescent="0.2">
      <c r="A671" s="259">
        <f>A669+1</f>
        <v>19</v>
      </c>
      <c r="C671" s="222" t="s">
        <v>196</v>
      </c>
      <c r="D671" s="733"/>
      <c r="F671" s="288"/>
      <c r="G671" s="469"/>
      <c r="H671" s="288"/>
      <c r="I671" s="293"/>
      <c r="J671" s="288"/>
      <c r="K671" s="288"/>
      <c r="L671" s="288"/>
      <c r="M671" s="288"/>
      <c r="N671" s="288"/>
      <c r="O671" s="288"/>
      <c r="P671" s="288"/>
      <c r="Q671" s="536"/>
    </row>
    <row r="672" spans="1:17" s="222" customFormat="1" x14ac:dyDescent="0.2">
      <c r="A672" s="259">
        <f>A671+1</f>
        <v>20</v>
      </c>
      <c r="C672" s="286" t="s">
        <v>214</v>
      </c>
      <c r="D672" s="782">
        <f>Input!AA30</f>
        <v>2.5999999999999999E-2</v>
      </c>
      <c r="E672" s="427">
        <f t="shared" ref="E672:P672" si="223">ROUND(E657*$D$672,2)</f>
        <v>17179.240000000002</v>
      </c>
      <c r="F672" s="427">
        <f t="shared" si="223"/>
        <v>17031.580000000002</v>
      </c>
      <c r="G672" s="427">
        <f t="shared" si="223"/>
        <v>11878.04</v>
      </c>
      <c r="H672" s="427">
        <f t="shared" si="223"/>
        <v>7209.85</v>
      </c>
      <c r="I672" s="427">
        <f t="shared" si="223"/>
        <v>3496.49</v>
      </c>
      <c r="J672" s="427">
        <f t="shared" si="223"/>
        <v>2098.6799999999998</v>
      </c>
      <c r="K672" s="427">
        <f t="shared" si="223"/>
        <v>1474.94</v>
      </c>
      <c r="L672" s="427">
        <f t="shared" si="223"/>
        <v>1372.43</v>
      </c>
      <c r="M672" s="427">
        <f t="shared" si="223"/>
        <v>1346.83</v>
      </c>
      <c r="N672" s="427">
        <f t="shared" si="223"/>
        <v>2005.75</v>
      </c>
      <c r="O672" s="427">
        <f t="shared" si="223"/>
        <v>4446.93</v>
      </c>
      <c r="P672" s="427">
        <f t="shared" si="223"/>
        <v>11012.84</v>
      </c>
      <c r="Q672" s="427">
        <f>SUM(E672:P672)</f>
        <v>80553.600000000006</v>
      </c>
    </row>
    <row r="673" spans="1:17" s="222" customFormat="1" x14ac:dyDescent="0.2">
      <c r="A673" s="259"/>
      <c r="D673" s="286"/>
      <c r="E673" s="482"/>
      <c r="F673" s="482"/>
      <c r="G673" s="482"/>
      <c r="H673" s="482"/>
      <c r="I673" s="482"/>
      <c r="J673" s="482"/>
      <c r="K673" s="482"/>
      <c r="L673" s="482"/>
      <c r="M673" s="482"/>
      <c r="N673" s="482"/>
      <c r="O673" s="482"/>
      <c r="P673" s="482"/>
      <c r="Q673" s="482"/>
    </row>
    <row r="674" spans="1:17" s="222" customFormat="1" ht="10.8" thickBot="1" x14ac:dyDescent="0.25">
      <c r="A674" s="717">
        <f>A672+1</f>
        <v>21</v>
      </c>
      <c r="B674" s="489"/>
      <c r="C674" s="718" t="s">
        <v>205</v>
      </c>
      <c r="D674" s="719"/>
      <c r="E674" s="492">
        <f>E669+E672</f>
        <v>3647767.41</v>
      </c>
      <c r="F674" s="492">
        <f t="shared" ref="F674:P674" si="224">F669+F672</f>
        <v>3634522.8200000003</v>
      </c>
      <c r="G674" s="492">
        <f t="shared" si="224"/>
        <v>2690388.56</v>
      </c>
      <c r="H674" s="492">
        <f t="shared" si="224"/>
        <v>1816545.81</v>
      </c>
      <c r="I674" s="492">
        <f t="shared" si="224"/>
        <v>1108751.8599999999</v>
      </c>
      <c r="J674" s="492">
        <f t="shared" si="224"/>
        <v>839899.71000000008</v>
      </c>
      <c r="K674" s="492">
        <f t="shared" si="224"/>
        <v>723184.83999999985</v>
      </c>
      <c r="L674" s="492">
        <f t="shared" si="224"/>
        <v>703172.06</v>
      </c>
      <c r="M674" s="492">
        <f t="shared" si="224"/>
        <v>697336.61</v>
      </c>
      <c r="N674" s="492">
        <f t="shared" si="224"/>
        <v>823984.19</v>
      </c>
      <c r="O674" s="492">
        <f t="shared" si="224"/>
        <v>1291637.2599999998</v>
      </c>
      <c r="P674" s="492">
        <f t="shared" si="224"/>
        <v>2516994.5199999996</v>
      </c>
      <c r="Q674" s="492">
        <f>SUM(E674:P674)</f>
        <v>20494185.650000002</v>
      </c>
    </row>
    <row r="675" spans="1:17" s="222" customFormat="1" ht="10.8" thickTop="1" x14ac:dyDescent="0.2">
      <c r="A675" s="259"/>
      <c r="D675" s="286"/>
      <c r="F675" s="288"/>
      <c r="G675" s="469"/>
      <c r="H675" s="288"/>
      <c r="I675" s="293"/>
      <c r="J675" s="288"/>
      <c r="K675" s="288"/>
      <c r="L675" s="288"/>
      <c r="M675" s="288"/>
      <c r="N675" s="288"/>
      <c r="O675" s="288"/>
      <c r="P675" s="288"/>
      <c r="Q675" s="469"/>
    </row>
    <row r="676" spans="1:17" s="222" customFormat="1" x14ac:dyDescent="0.2">
      <c r="A676" s="259"/>
      <c r="D676" s="286"/>
      <c r="F676" s="288"/>
      <c r="G676" s="469"/>
      <c r="H676" s="288"/>
      <c r="I676" s="293"/>
      <c r="J676" s="288"/>
      <c r="K676" s="288"/>
      <c r="L676" s="288"/>
      <c r="M676" s="288"/>
      <c r="N676" s="288"/>
      <c r="O676" s="288"/>
      <c r="P676" s="288"/>
    </row>
    <row r="677" spans="1:17" s="222" customFormat="1" x14ac:dyDescent="0.2">
      <c r="A677" s="259"/>
      <c r="D677" s="286"/>
      <c r="F677" s="288"/>
      <c r="G677" s="469"/>
      <c r="H677" s="288"/>
      <c r="I677" s="293"/>
      <c r="J677" s="288"/>
      <c r="K677" s="288"/>
      <c r="L677" s="288"/>
      <c r="M677" s="288"/>
      <c r="N677" s="288"/>
      <c r="O677" s="288"/>
      <c r="P677" s="288"/>
    </row>
    <row r="678" spans="1:17" s="222" customFormat="1" x14ac:dyDescent="0.2">
      <c r="A678" s="622" t="str">
        <f>$A$265</f>
        <v>[1] Reflects Normalized Volumes.</v>
      </c>
      <c r="D678" s="286"/>
      <c r="F678" s="288"/>
      <c r="G678" s="469"/>
      <c r="H678" s="288"/>
      <c r="I678" s="293"/>
      <c r="J678" s="288"/>
      <c r="K678" s="288"/>
      <c r="L678" s="288"/>
      <c r="M678" s="288"/>
      <c r="N678" s="288"/>
      <c r="O678" s="288"/>
      <c r="P678" s="288"/>
    </row>
    <row r="679" spans="1:17" s="222" customFormat="1" x14ac:dyDescent="0.2">
      <c r="A679" s="622" t="str">
        <f>"[2] Reflects Gas Cost Adjustment Rate"&amp;CONCATENATE(" as of ",EGCDATE)&amp;"."</f>
        <v>[2] Reflects Gas Cost Adjustment Rate as of March 1, 2016.</v>
      </c>
      <c r="D679" s="286"/>
      <c r="F679" s="288"/>
      <c r="G679" s="469"/>
      <c r="H679" s="288"/>
      <c r="I679" s="293"/>
      <c r="J679" s="288"/>
      <c r="K679" s="288"/>
      <c r="L679" s="288"/>
      <c r="M679" s="288"/>
      <c r="N679" s="288"/>
      <c r="O679" s="288"/>
      <c r="P679" s="288"/>
    </row>
    <row r="680" spans="1:17" s="222" customFormat="1" x14ac:dyDescent="0.2">
      <c r="A680" s="995" t="str">
        <f>CONAME</f>
        <v>Columbia Gas of Kentucky, Inc.</v>
      </c>
      <c r="B680" s="995"/>
      <c r="C680" s="995"/>
      <c r="D680" s="995"/>
      <c r="E680" s="995"/>
      <c r="F680" s="995"/>
      <c r="G680" s="995"/>
      <c r="H680" s="995"/>
      <c r="I680" s="995"/>
      <c r="J680" s="995"/>
      <c r="K680" s="995"/>
      <c r="L680" s="995"/>
      <c r="M680" s="995"/>
      <c r="N680" s="995"/>
      <c r="O680" s="995"/>
      <c r="P680" s="995"/>
      <c r="Q680" s="995"/>
    </row>
    <row r="681" spans="1:17" s="222" customFormat="1" x14ac:dyDescent="0.2">
      <c r="A681" s="978" t="str">
        <f>case</f>
        <v>Case No. 2016-00162</v>
      </c>
      <c r="B681" s="978"/>
      <c r="C681" s="978"/>
      <c r="D681" s="978"/>
      <c r="E681" s="978"/>
      <c r="F681" s="978"/>
      <c r="G681" s="978"/>
      <c r="H681" s="978"/>
      <c r="I681" s="978"/>
      <c r="J681" s="978"/>
      <c r="K681" s="978"/>
      <c r="L681" s="978"/>
      <c r="M681" s="978"/>
      <c r="N681" s="978"/>
      <c r="O681" s="978"/>
      <c r="P681" s="978"/>
      <c r="Q681" s="978"/>
    </row>
    <row r="682" spans="1:17" s="222" customFormat="1" x14ac:dyDescent="0.2">
      <c r="A682" s="996" t="s">
        <v>200</v>
      </c>
      <c r="B682" s="996"/>
      <c r="C682" s="996"/>
      <c r="D682" s="996"/>
      <c r="E682" s="996"/>
      <c r="F682" s="996"/>
      <c r="G682" s="996"/>
      <c r="H682" s="996"/>
      <c r="I682" s="996"/>
      <c r="J682" s="996"/>
      <c r="K682" s="996"/>
      <c r="L682" s="996"/>
      <c r="M682" s="996"/>
      <c r="N682" s="996"/>
      <c r="O682" s="996"/>
      <c r="P682" s="996"/>
      <c r="Q682" s="996"/>
    </row>
    <row r="683" spans="1:17" s="222" customFormat="1" x14ac:dyDescent="0.2">
      <c r="A683" s="995" t="str">
        <f>TYDESC</f>
        <v>For the 12 Months Ended December 31, 2017</v>
      </c>
      <c r="B683" s="995"/>
      <c r="C683" s="995"/>
      <c r="D683" s="995"/>
      <c r="E683" s="995"/>
      <c r="F683" s="995"/>
      <c r="G683" s="995"/>
      <c r="H683" s="995"/>
      <c r="I683" s="995"/>
      <c r="J683" s="995"/>
      <c r="K683" s="995"/>
      <c r="L683" s="995"/>
      <c r="M683" s="995"/>
      <c r="N683" s="995"/>
      <c r="O683" s="995"/>
      <c r="P683" s="995"/>
      <c r="Q683" s="995"/>
    </row>
    <row r="684" spans="1:17" s="222" customFormat="1" x14ac:dyDescent="0.2">
      <c r="A684" s="997" t="s">
        <v>39</v>
      </c>
      <c r="B684" s="997"/>
      <c r="C684" s="997"/>
      <c r="D684" s="997"/>
      <c r="E684" s="997"/>
      <c r="F684" s="997"/>
      <c r="G684" s="997"/>
      <c r="H684" s="997"/>
      <c r="I684" s="997"/>
      <c r="J684" s="997"/>
      <c r="K684" s="997"/>
      <c r="L684" s="997"/>
      <c r="M684" s="997"/>
      <c r="N684" s="997"/>
      <c r="O684" s="997"/>
      <c r="P684" s="997"/>
      <c r="Q684" s="997"/>
    </row>
    <row r="685" spans="1:17" s="222" customFormat="1" x14ac:dyDescent="0.2">
      <c r="A685" s="711" t="str">
        <f>$A$52</f>
        <v>Data: __ Base Period _X_ Forecasted Period</v>
      </c>
      <c r="D685" s="286"/>
      <c r="F685" s="288"/>
      <c r="G685" s="469"/>
      <c r="H685" s="288"/>
      <c r="I685" s="293"/>
      <c r="J685" s="288"/>
      <c r="K685" s="288"/>
      <c r="L685" s="288"/>
      <c r="M685" s="288"/>
      <c r="N685" s="288"/>
      <c r="O685" s="288"/>
      <c r="P685" s="288"/>
    </row>
    <row r="686" spans="1:17" s="222" customFormat="1" x14ac:dyDescent="0.2">
      <c r="A686" s="711" t="str">
        <f>$A$53</f>
        <v>Type of Filing: X Original _ Update _ Revised</v>
      </c>
      <c r="D686" s="286"/>
      <c r="F686" s="288"/>
      <c r="G686" s="469"/>
      <c r="H686" s="288"/>
      <c r="I686" s="293"/>
      <c r="J686" s="288"/>
      <c r="K686" s="288"/>
      <c r="L686" s="288"/>
      <c r="M686" s="288"/>
      <c r="N686" s="288"/>
      <c r="O686" s="288"/>
      <c r="P686" s="288"/>
      <c r="Q686" s="720" t="str">
        <f>$Q$53</f>
        <v>Schedule M-2.3</v>
      </c>
    </row>
    <row r="687" spans="1:17" s="222" customFormat="1" x14ac:dyDescent="0.2">
      <c r="A687" s="711" t="str">
        <f>$A$54</f>
        <v>Work Paper Reference No(s):</v>
      </c>
      <c r="D687" s="286"/>
      <c r="F687" s="288"/>
      <c r="G687" s="469"/>
      <c r="H687" s="288"/>
      <c r="I687" s="293"/>
      <c r="J687" s="288"/>
      <c r="K687" s="288"/>
      <c r="L687" s="288"/>
      <c r="M687" s="288"/>
      <c r="N687" s="288"/>
      <c r="O687" s="288"/>
      <c r="P687" s="288"/>
      <c r="Q687" s="720" t="s">
        <v>512</v>
      </c>
    </row>
    <row r="688" spans="1:17" s="222" customFormat="1" x14ac:dyDescent="0.2">
      <c r="A688" s="712" t="str">
        <f>$A$55</f>
        <v>12 Months Forecasted</v>
      </c>
      <c r="D688" s="286"/>
      <c r="F688" s="288"/>
      <c r="G688" s="469"/>
      <c r="H688" s="288"/>
      <c r="I688" s="293"/>
      <c r="J688" s="288"/>
      <c r="K688" s="288"/>
      <c r="L688" s="288"/>
      <c r="M688" s="288"/>
      <c r="N688" s="288"/>
      <c r="O688" s="288"/>
      <c r="P688" s="288"/>
      <c r="Q688" s="720" t="str">
        <f>Witness</f>
        <v>Witness:  M. J. Bell</v>
      </c>
    </row>
    <row r="689" spans="1:17" s="222" customFormat="1" x14ac:dyDescent="0.2">
      <c r="A689" s="998" t="s">
        <v>293</v>
      </c>
      <c r="B689" s="998"/>
      <c r="C689" s="998"/>
      <c r="D689" s="998"/>
      <c r="E689" s="998"/>
      <c r="F689" s="998"/>
      <c r="G689" s="998"/>
      <c r="H689" s="998"/>
      <c r="I689" s="998"/>
      <c r="J689" s="998"/>
      <c r="K689" s="998"/>
      <c r="L689" s="998"/>
      <c r="M689" s="998"/>
      <c r="N689" s="998"/>
      <c r="O689" s="998"/>
      <c r="P689" s="998"/>
      <c r="Q689" s="998"/>
    </row>
    <row r="690" spans="1:17" s="222" customFormat="1" x14ac:dyDescent="0.2">
      <c r="A690" s="225"/>
      <c r="B690" s="302"/>
      <c r="C690" s="302"/>
      <c r="D690" s="304"/>
      <c r="E690" s="302"/>
      <c r="F690" s="495"/>
      <c r="G690" s="496"/>
      <c r="H690" s="495"/>
      <c r="I690" s="497"/>
      <c r="J690" s="495"/>
      <c r="K690" s="495"/>
      <c r="L690" s="495"/>
      <c r="M690" s="495"/>
      <c r="N690" s="495"/>
      <c r="O690" s="495"/>
      <c r="P690" s="495"/>
      <c r="Q690" s="302"/>
    </row>
    <row r="691" spans="1:17" s="222" customFormat="1" x14ac:dyDescent="0.2">
      <c r="A691" s="410" t="s">
        <v>1</v>
      </c>
      <c r="B691" s="410" t="s">
        <v>0</v>
      </c>
      <c r="C691" s="410" t="s">
        <v>41</v>
      </c>
      <c r="D691" s="416" t="s">
        <v>30</v>
      </c>
      <c r="E691" s="410"/>
      <c r="F691" s="722"/>
      <c r="G691" s="725"/>
      <c r="H691" s="722"/>
      <c r="I691" s="726"/>
      <c r="J691" s="722"/>
      <c r="K691" s="722"/>
      <c r="L691" s="722"/>
      <c r="M691" s="722"/>
      <c r="N691" s="722"/>
      <c r="O691" s="722"/>
      <c r="P691" s="722"/>
      <c r="Q691" s="230"/>
    </row>
    <row r="692" spans="1:17" s="222" customFormat="1" x14ac:dyDescent="0.2">
      <c r="A692" s="281" t="s">
        <v>3</v>
      </c>
      <c r="B692" s="281" t="s">
        <v>40</v>
      </c>
      <c r="C692" s="281" t="s">
        <v>4</v>
      </c>
      <c r="D692" s="420" t="s">
        <v>48</v>
      </c>
      <c r="E692" s="421" t="str">
        <f>B!$D$11</f>
        <v>Jan-17</v>
      </c>
      <c r="F692" s="421" t="str">
        <f>B!$E$11</f>
        <v>Feb-17</v>
      </c>
      <c r="G692" s="421" t="str">
        <f>B!$F$11</f>
        <v>Mar-17</v>
      </c>
      <c r="H692" s="421" t="str">
        <f>B!$G$11</f>
        <v>Apr-17</v>
      </c>
      <c r="I692" s="421" t="str">
        <f>B!$H$11</f>
        <v>May-17</v>
      </c>
      <c r="J692" s="421" t="str">
        <f>B!$I$11</f>
        <v>Jun-17</v>
      </c>
      <c r="K692" s="421" t="str">
        <f>B!$J$11</f>
        <v>Jul-17</v>
      </c>
      <c r="L692" s="421" t="str">
        <f>B!$K$11</f>
        <v>Aug-17</v>
      </c>
      <c r="M692" s="421" t="str">
        <f>B!$L$11</f>
        <v>Sep-17</v>
      </c>
      <c r="N692" s="421" t="str">
        <f>B!$M$11</f>
        <v>Oct-17</v>
      </c>
      <c r="O692" s="421" t="str">
        <f>B!$N$11</f>
        <v>Nov-17</v>
      </c>
      <c r="P692" s="421" t="str">
        <f>B!$O$11</f>
        <v>Dec-17</v>
      </c>
      <c r="Q692" s="421" t="s">
        <v>9</v>
      </c>
    </row>
    <row r="693" spans="1:17" s="222" customFormat="1" x14ac:dyDescent="0.2">
      <c r="A693" s="410"/>
      <c r="B693" s="229" t="s">
        <v>42</v>
      </c>
      <c r="C693" s="229" t="s">
        <v>43</v>
      </c>
      <c r="D693" s="423" t="s">
        <v>45</v>
      </c>
      <c r="E693" s="424" t="s">
        <v>46</v>
      </c>
      <c r="F693" s="424" t="s">
        <v>49</v>
      </c>
      <c r="G693" s="424" t="s">
        <v>50</v>
      </c>
      <c r="H693" s="424" t="s">
        <v>51</v>
      </c>
      <c r="I693" s="424" t="s">
        <v>52</v>
      </c>
      <c r="J693" s="425" t="s">
        <v>53</v>
      </c>
      <c r="K693" s="425" t="s">
        <v>54</v>
      </c>
      <c r="L693" s="425" t="s">
        <v>55</v>
      </c>
      <c r="M693" s="425" t="s">
        <v>56</v>
      </c>
      <c r="N693" s="425" t="s">
        <v>57</v>
      </c>
      <c r="O693" s="425" t="s">
        <v>58</v>
      </c>
      <c r="P693" s="425" t="s">
        <v>59</v>
      </c>
      <c r="Q693" s="425" t="s">
        <v>203</v>
      </c>
    </row>
    <row r="694" spans="1:17" s="222" customFormat="1" x14ac:dyDescent="0.2">
      <c r="A694" s="259"/>
      <c r="D694" s="286"/>
      <c r="E694" s="230"/>
      <c r="F694" s="727"/>
      <c r="G694" s="723"/>
      <c r="H694" s="727"/>
      <c r="I694" s="724"/>
      <c r="J694" s="727"/>
      <c r="K694" s="727"/>
      <c r="L694" s="727"/>
      <c r="M694" s="727"/>
      <c r="N694" s="727"/>
      <c r="O694" s="727"/>
      <c r="P694" s="727"/>
      <c r="Q694" s="230"/>
    </row>
    <row r="695" spans="1:17" s="222" customFormat="1" x14ac:dyDescent="0.2">
      <c r="A695" s="259">
        <v>1</v>
      </c>
      <c r="B695" s="222" t="str">
        <f>B181</f>
        <v>GSO</v>
      </c>
      <c r="C695" s="222" t="str">
        <f>C181</f>
        <v>General Service - Industrial</v>
      </c>
      <c r="D695" s="286"/>
      <c r="F695" s="288"/>
      <c r="G695" s="469"/>
      <c r="H695" s="288"/>
      <c r="I695" s="293"/>
      <c r="J695" s="288"/>
      <c r="K695" s="288"/>
      <c r="L695" s="288"/>
      <c r="M695" s="288"/>
      <c r="N695" s="288"/>
      <c r="O695" s="288"/>
      <c r="P695" s="288"/>
    </row>
    <row r="696" spans="1:17" s="222" customFormat="1" x14ac:dyDescent="0.2">
      <c r="A696" s="259"/>
      <c r="D696" s="286"/>
      <c r="F696" s="288"/>
      <c r="G696" s="469"/>
      <c r="H696" s="288"/>
      <c r="I696" s="293"/>
      <c r="J696" s="288"/>
      <c r="K696" s="288"/>
      <c r="L696" s="288"/>
      <c r="M696" s="288"/>
      <c r="N696" s="288"/>
      <c r="O696" s="288"/>
      <c r="P696" s="288"/>
    </row>
    <row r="697" spans="1:17" s="222" customFormat="1" x14ac:dyDescent="0.2">
      <c r="A697" s="259">
        <f>A695+1</f>
        <v>2</v>
      </c>
      <c r="C697" s="262" t="s">
        <v>112</v>
      </c>
      <c r="D697" s="286"/>
      <c r="F697" s="288"/>
      <c r="G697" s="469"/>
      <c r="H697" s="288"/>
      <c r="I697" s="293"/>
      <c r="J697" s="288"/>
      <c r="K697" s="288"/>
      <c r="L697" s="288"/>
      <c r="M697" s="288"/>
      <c r="N697" s="288"/>
      <c r="O697" s="288"/>
      <c r="P697" s="288"/>
    </row>
    <row r="698" spans="1:17" s="222" customFormat="1" x14ac:dyDescent="0.2">
      <c r="A698" s="259"/>
      <c r="C698" s="262"/>
      <c r="D698" s="286"/>
      <c r="F698" s="288"/>
      <c r="G698" s="469"/>
      <c r="H698" s="288"/>
      <c r="I698" s="293"/>
      <c r="J698" s="288"/>
      <c r="K698" s="288"/>
      <c r="L698" s="288"/>
      <c r="M698" s="288"/>
      <c r="N698" s="288"/>
      <c r="O698" s="288"/>
      <c r="P698" s="288"/>
    </row>
    <row r="699" spans="1:17" s="222" customFormat="1" x14ac:dyDescent="0.2">
      <c r="A699" s="259">
        <f>A697+1</f>
        <v>3</v>
      </c>
      <c r="C699" s="222" t="s">
        <v>202</v>
      </c>
      <c r="D699" s="286"/>
      <c r="E699" s="472">
        <f>B!D87</f>
        <v>43</v>
      </c>
      <c r="F699" s="472">
        <f>B!E87</f>
        <v>43</v>
      </c>
      <c r="G699" s="472">
        <f>B!F87</f>
        <v>43</v>
      </c>
      <c r="H699" s="472">
        <f>B!G87</f>
        <v>43</v>
      </c>
      <c r="I699" s="472">
        <f>B!H87</f>
        <v>43</v>
      </c>
      <c r="J699" s="472">
        <f>B!I87</f>
        <v>44</v>
      </c>
      <c r="K699" s="472">
        <f>B!J87</f>
        <v>44</v>
      </c>
      <c r="L699" s="472">
        <f>B!K87</f>
        <v>45</v>
      </c>
      <c r="M699" s="472">
        <f>B!L87</f>
        <v>44</v>
      </c>
      <c r="N699" s="472">
        <f>B!M87</f>
        <v>44</v>
      </c>
      <c r="O699" s="472">
        <f>B!N87</f>
        <v>44</v>
      </c>
      <c r="P699" s="472">
        <f>B!O87</f>
        <v>44</v>
      </c>
      <c r="Q699" s="472">
        <f>SUM(E699:P699)</f>
        <v>524</v>
      </c>
    </row>
    <row r="700" spans="1:17" s="222" customFormat="1" x14ac:dyDescent="0.2">
      <c r="A700" s="259">
        <f>A699+1</f>
        <v>4</v>
      </c>
      <c r="C700" s="222" t="s">
        <v>210</v>
      </c>
      <c r="D700" s="781">
        <f>Input!U31</f>
        <v>44.69</v>
      </c>
      <c r="E700" s="427">
        <f t="shared" ref="E700:P700" si="225">ROUND(E699*$D$700,2)</f>
        <v>1921.67</v>
      </c>
      <c r="F700" s="427">
        <f t="shared" si="225"/>
        <v>1921.67</v>
      </c>
      <c r="G700" s="427">
        <f t="shared" si="225"/>
        <v>1921.67</v>
      </c>
      <c r="H700" s="427">
        <f t="shared" si="225"/>
        <v>1921.67</v>
      </c>
      <c r="I700" s="427">
        <f t="shared" si="225"/>
        <v>1921.67</v>
      </c>
      <c r="J700" s="427">
        <f t="shared" si="225"/>
        <v>1966.36</v>
      </c>
      <c r="K700" s="427">
        <f t="shared" si="225"/>
        <v>1966.36</v>
      </c>
      <c r="L700" s="427">
        <f t="shared" si="225"/>
        <v>2011.05</v>
      </c>
      <c r="M700" s="427">
        <f t="shared" si="225"/>
        <v>1966.36</v>
      </c>
      <c r="N700" s="427">
        <f t="shared" si="225"/>
        <v>1966.36</v>
      </c>
      <c r="O700" s="427">
        <f t="shared" si="225"/>
        <v>1966.36</v>
      </c>
      <c r="P700" s="427">
        <f t="shared" si="225"/>
        <v>1966.36</v>
      </c>
      <c r="Q700" s="427">
        <f>SUM(E700:P700)</f>
        <v>23417.56</v>
      </c>
    </row>
    <row r="701" spans="1:17" s="222" customFormat="1" x14ac:dyDescent="0.2">
      <c r="A701" s="259">
        <f>A700+1</f>
        <v>5</v>
      </c>
      <c r="C701" s="222" t="s">
        <v>211</v>
      </c>
      <c r="D701" s="781">
        <f>Input!W31</f>
        <v>0</v>
      </c>
      <c r="E701" s="427">
        <f t="shared" ref="E701:P701" si="226">ROUND(E699*$D$701,2)</f>
        <v>0</v>
      </c>
      <c r="F701" s="427">
        <f t="shared" si="226"/>
        <v>0</v>
      </c>
      <c r="G701" s="427">
        <f t="shared" si="226"/>
        <v>0</v>
      </c>
      <c r="H701" s="427">
        <f t="shared" si="226"/>
        <v>0</v>
      </c>
      <c r="I701" s="427">
        <f t="shared" si="226"/>
        <v>0</v>
      </c>
      <c r="J701" s="427">
        <f t="shared" si="226"/>
        <v>0</v>
      </c>
      <c r="K701" s="427">
        <f t="shared" si="226"/>
        <v>0</v>
      </c>
      <c r="L701" s="427">
        <f t="shared" si="226"/>
        <v>0</v>
      </c>
      <c r="M701" s="427">
        <f t="shared" si="226"/>
        <v>0</v>
      </c>
      <c r="N701" s="427">
        <f t="shared" si="226"/>
        <v>0</v>
      </c>
      <c r="O701" s="427">
        <f t="shared" si="226"/>
        <v>0</v>
      </c>
      <c r="P701" s="427">
        <f t="shared" si="226"/>
        <v>0</v>
      </c>
      <c r="Q701" s="427">
        <f>SUM(E701:P701)</f>
        <v>0</v>
      </c>
    </row>
    <row r="702" spans="1:17" s="222" customFormat="1" x14ac:dyDescent="0.2">
      <c r="A702" s="259"/>
      <c r="D702" s="731"/>
      <c r="F702" s="288"/>
      <c r="G702" s="469"/>
      <c r="H702" s="288"/>
      <c r="I702" s="293"/>
      <c r="J702" s="288"/>
      <c r="K702" s="288"/>
      <c r="L702" s="288"/>
      <c r="M702" s="288"/>
      <c r="N702" s="288"/>
      <c r="O702" s="288"/>
      <c r="P702" s="288"/>
    </row>
    <row r="703" spans="1:17" s="222" customFormat="1" x14ac:dyDescent="0.2">
      <c r="A703" s="259">
        <f>A701+1</f>
        <v>6</v>
      </c>
      <c r="C703" s="222" t="s">
        <v>209</v>
      </c>
      <c r="D703" s="731"/>
      <c r="E703" s="514"/>
      <c r="F703" s="288"/>
      <c r="G703" s="469"/>
      <c r="H703" s="288"/>
      <c r="I703" s="293"/>
      <c r="J703" s="288"/>
      <c r="K703" s="288"/>
      <c r="L703" s="288"/>
      <c r="M703" s="288"/>
      <c r="N703" s="288"/>
      <c r="O703" s="288"/>
      <c r="P703" s="288"/>
    </row>
    <row r="704" spans="1:17" s="222" customFormat="1" x14ac:dyDescent="0.2">
      <c r="A704" s="259">
        <f>A703+1</f>
        <v>7</v>
      </c>
      <c r="C704" s="222" t="str">
        <f>'C'!B113</f>
        <v xml:space="preserve">    First 50 Mcf</v>
      </c>
      <c r="D704" s="731"/>
      <c r="E704" s="476">
        <f>'C'!D125</f>
        <v>1708.9</v>
      </c>
      <c r="F704" s="476">
        <f>'C'!E125</f>
        <v>1701.3</v>
      </c>
      <c r="G704" s="476">
        <f>'C'!F125</f>
        <v>1750.8</v>
      </c>
      <c r="H704" s="476">
        <f>'C'!G125</f>
        <v>1513.3</v>
      </c>
      <c r="I704" s="476">
        <f>'C'!H125</f>
        <v>1170.7</v>
      </c>
      <c r="J704" s="476">
        <f>'C'!I125</f>
        <v>916.7</v>
      </c>
      <c r="K704" s="476">
        <f>'C'!J125</f>
        <v>785.3</v>
      </c>
      <c r="L704" s="476">
        <f>'C'!K125</f>
        <v>882.2</v>
      </c>
      <c r="M704" s="476">
        <f>'C'!L125</f>
        <v>940.1</v>
      </c>
      <c r="N704" s="476">
        <f>'C'!M125</f>
        <v>1050</v>
      </c>
      <c r="O704" s="476">
        <f>'C'!N125</f>
        <v>1434.4</v>
      </c>
      <c r="P704" s="476">
        <f>'C'!O125</f>
        <v>1636.5</v>
      </c>
      <c r="Q704" s="476">
        <f>SUM(E704:P704)</f>
        <v>15490.2</v>
      </c>
    </row>
    <row r="705" spans="1:17" s="222" customFormat="1" x14ac:dyDescent="0.2">
      <c r="A705" s="259">
        <f>A704+1</f>
        <v>8</v>
      </c>
      <c r="C705" s="222" t="str">
        <f>'C'!B114</f>
        <v xml:space="preserve">    Next 350 Mcf</v>
      </c>
      <c r="D705" s="731"/>
      <c r="E705" s="476">
        <f>'C'!D126</f>
        <v>7148.9</v>
      </c>
      <c r="F705" s="476">
        <f>'C'!E126</f>
        <v>6006.8</v>
      </c>
      <c r="G705" s="476">
        <f>'C'!F126</f>
        <v>6156.4</v>
      </c>
      <c r="H705" s="476">
        <f>'C'!G126</f>
        <v>6215.5</v>
      </c>
      <c r="I705" s="476">
        <f>'C'!H126</f>
        <v>4577.2</v>
      </c>
      <c r="J705" s="476">
        <f>'C'!I126</f>
        <v>4111.5</v>
      </c>
      <c r="K705" s="476">
        <f>'C'!J126</f>
        <v>4287.7</v>
      </c>
      <c r="L705" s="476">
        <f>'C'!K126</f>
        <v>4689.2</v>
      </c>
      <c r="M705" s="476">
        <f>'C'!L126</f>
        <v>4390.5</v>
      </c>
      <c r="N705" s="476">
        <f>'C'!M126</f>
        <v>4922.5</v>
      </c>
      <c r="O705" s="476">
        <f>'C'!N126</f>
        <v>5568</v>
      </c>
      <c r="P705" s="476">
        <f>'C'!O126</f>
        <v>5921.9</v>
      </c>
      <c r="Q705" s="476">
        <f>SUM(E705:P705)</f>
        <v>63996.1</v>
      </c>
    </row>
    <row r="706" spans="1:17" s="222" customFormat="1" x14ac:dyDescent="0.2">
      <c r="A706" s="259">
        <f>A705+1</f>
        <v>9</v>
      </c>
      <c r="C706" s="222" t="str">
        <f>'C'!B115</f>
        <v xml:space="preserve">    Next 600 Mcf</v>
      </c>
      <c r="D706" s="731"/>
      <c r="E706" s="476">
        <f>'C'!D127</f>
        <v>5057.5</v>
      </c>
      <c r="F706" s="476">
        <f>'C'!E127</f>
        <v>5060.1000000000004</v>
      </c>
      <c r="G706" s="476">
        <f>'C'!F127</f>
        <v>5050.7</v>
      </c>
      <c r="H706" s="476">
        <f>'C'!G127</f>
        <v>4677.8999999999996</v>
      </c>
      <c r="I706" s="476">
        <f>'C'!H127</f>
        <v>4645.7</v>
      </c>
      <c r="J706" s="476">
        <f>'C'!I127</f>
        <v>4385</v>
      </c>
      <c r="K706" s="476">
        <f>'C'!J127</f>
        <v>4760.5</v>
      </c>
      <c r="L706" s="476">
        <f>'C'!K127</f>
        <v>5222.2</v>
      </c>
      <c r="M706" s="476">
        <f>'C'!L127</f>
        <v>5369</v>
      </c>
      <c r="N706" s="476">
        <f>'C'!M127</f>
        <v>5769.7</v>
      </c>
      <c r="O706" s="476">
        <f>'C'!N127</f>
        <v>4707.2</v>
      </c>
      <c r="P706" s="476">
        <f>'C'!O127</f>
        <v>4633.3999999999996</v>
      </c>
      <c r="Q706" s="476">
        <f>SUM(E706:P706)</f>
        <v>59338.899999999987</v>
      </c>
    </row>
    <row r="707" spans="1:17" s="222" customFormat="1" x14ac:dyDescent="0.2">
      <c r="A707" s="259">
        <f>A706+1</f>
        <v>10</v>
      </c>
      <c r="C707" s="222" t="str">
        <f>'C'!B116</f>
        <v xml:space="preserve">    Over 1,000 Mcf</v>
      </c>
      <c r="D707" s="731"/>
      <c r="E707" s="515">
        <f>'C'!D128</f>
        <v>19084.900000000001</v>
      </c>
      <c r="F707" s="515">
        <f>'C'!E128</f>
        <v>19231.7</v>
      </c>
      <c r="G707" s="515">
        <f>'C'!F128</f>
        <v>17942.099999999999</v>
      </c>
      <c r="H707" s="515">
        <f>'C'!G128</f>
        <v>17393.2</v>
      </c>
      <c r="I707" s="515">
        <f>'C'!H128</f>
        <v>18406.7</v>
      </c>
      <c r="J707" s="515">
        <f>'C'!I128</f>
        <v>18336.7</v>
      </c>
      <c r="K707" s="515">
        <f>'C'!J128</f>
        <v>17916.400000000001</v>
      </c>
      <c r="L707" s="515">
        <f>'C'!K128</f>
        <v>17956.599999999999</v>
      </c>
      <c r="M707" s="515">
        <f>'C'!L128</f>
        <v>18050.599999999999</v>
      </c>
      <c r="N707" s="515">
        <f>'C'!M128</f>
        <v>19107.7</v>
      </c>
      <c r="O707" s="515">
        <f>'C'!N128</f>
        <v>19190.400000000001</v>
      </c>
      <c r="P707" s="515">
        <f>'C'!O128</f>
        <v>18808.3</v>
      </c>
      <c r="Q707" s="515">
        <f>SUM(E707:P707)</f>
        <v>221425.30000000002</v>
      </c>
    </row>
    <row r="708" spans="1:17" s="222" customFormat="1" x14ac:dyDescent="0.2">
      <c r="A708" s="259"/>
      <c r="D708" s="731"/>
      <c r="E708" s="476">
        <f t="shared" ref="E708:P708" si="227">SUM(E704:E707)</f>
        <v>33000.199999999997</v>
      </c>
      <c r="F708" s="476">
        <f t="shared" si="227"/>
        <v>31999.9</v>
      </c>
      <c r="G708" s="476">
        <f t="shared" si="227"/>
        <v>30900</v>
      </c>
      <c r="H708" s="476">
        <f t="shared" si="227"/>
        <v>29799.9</v>
      </c>
      <c r="I708" s="476">
        <f t="shared" si="227"/>
        <v>28800.3</v>
      </c>
      <c r="J708" s="476">
        <f t="shared" si="227"/>
        <v>27749.9</v>
      </c>
      <c r="K708" s="476">
        <f t="shared" si="227"/>
        <v>27749.9</v>
      </c>
      <c r="L708" s="476">
        <f t="shared" si="227"/>
        <v>28750.199999999997</v>
      </c>
      <c r="M708" s="476">
        <f t="shared" si="227"/>
        <v>28750.199999999997</v>
      </c>
      <c r="N708" s="476">
        <f t="shared" si="227"/>
        <v>30849.9</v>
      </c>
      <c r="O708" s="476">
        <f t="shared" si="227"/>
        <v>30900</v>
      </c>
      <c r="P708" s="476">
        <f t="shared" si="227"/>
        <v>31000.1</v>
      </c>
      <c r="Q708" s="476">
        <f>SUM(E708:P708)</f>
        <v>360250.5</v>
      </c>
    </row>
    <row r="709" spans="1:17" s="222" customFormat="1" x14ac:dyDescent="0.2">
      <c r="A709" s="259">
        <f>A707+1</f>
        <v>11</v>
      </c>
      <c r="C709" s="222" t="s">
        <v>207</v>
      </c>
      <c r="D709" s="731"/>
      <c r="F709" s="288"/>
      <c r="G709" s="469"/>
      <c r="H709" s="288"/>
      <c r="I709" s="293"/>
      <c r="J709" s="288"/>
      <c r="K709" s="288"/>
      <c r="L709" s="288"/>
      <c r="M709" s="288"/>
      <c r="N709" s="288"/>
      <c r="O709" s="288"/>
      <c r="P709" s="288"/>
      <c r="Q709" s="536"/>
    </row>
    <row r="710" spans="1:17" s="222" customFormat="1" x14ac:dyDescent="0.2">
      <c r="A710" s="259">
        <f>A709+1</f>
        <v>12</v>
      </c>
      <c r="C710" s="222" t="str">
        <f>C704</f>
        <v xml:space="preserve">    First 50 Mcf</v>
      </c>
      <c r="D710" s="782">
        <f>Input!P31</f>
        <v>3.0331999999999999</v>
      </c>
      <c r="E710" s="427">
        <f t="shared" ref="E710:P710" si="228">ROUND(E704*$D$710,2)</f>
        <v>5183.4399999999996</v>
      </c>
      <c r="F710" s="427">
        <f t="shared" si="228"/>
        <v>5160.38</v>
      </c>
      <c r="G710" s="427">
        <f t="shared" si="228"/>
        <v>5310.53</v>
      </c>
      <c r="H710" s="427">
        <f t="shared" si="228"/>
        <v>4590.1400000000003</v>
      </c>
      <c r="I710" s="427">
        <f t="shared" si="228"/>
        <v>3550.97</v>
      </c>
      <c r="J710" s="427">
        <f t="shared" si="228"/>
        <v>2780.53</v>
      </c>
      <c r="K710" s="427">
        <f t="shared" si="228"/>
        <v>2381.9699999999998</v>
      </c>
      <c r="L710" s="427">
        <f t="shared" si="228"/>
        <v>2675.89</v>
      </c>
      <c r="M710" s="427">
        <f t="shared" si="228"/>
        <v>2851.51</v>
      </c>
      <c r="N710" s="427">
        <f t="shared" si="228"/>
        <v>3184.86</v>
      </c>
      <c r="O710" s="427">
        <f t="shared" si="228"/>
        <v>4350.82</v>
      </c>
      <c r="P710" s="427">
        <f t="shared" si="228"/>
        <v>4963.83</v>
      </c>
      <c r="Q710" s="427">
        <f>SUM(E710:P710)</f>
        <v>46984.87</v>
      </c>
    </row>
    <row r="711" spans="1:17" s="222" customFormat="1" x14ac:dyDescent="0.2">
      <c r="A711" s="259">
        <f>A710+1</f>
        <v>13</v>
      </c>
      <c r="C711" s="222" t="str">
        <f>C705</f>
        <v xml:space="preserve">    Next 350 Mcf</v>
      </c>
      <c r="D711" s="782">
        <f>Input!Q31</f>
        <v>2.3445999999999998</v>
      </c>
      <c r="E711" s="472">
        <f t="shared" ref="E711:P711" si="229">ROUND(E705*$D$711,2)</f>
        <v>16761.310000000001</v>
      </c>
      <c r="F711" s="472">
        <f t="shared" si="229"/>
        <v>14083.54</v>
      </c>
      <c r="G711" s="472">
        <f t="shared" si="229"/>
        <v>14434.3</v>
      </c>
      <c r="H711" s="472">
        <f t="shared" si="229"/>
        <v>14572.86</v>
      </c>
      <c r="I711" s="472">
        <f t="shared" si="229"/>
        <v>10731.7</v>
      </c>
      <c r="J711" s="472">
        <f t="shared" si="229"/>
        <v>9639.82</v>
      </c>
      <c r="K711" s="472">
        <f t="shared" si="229"/>
        <v>10052.94</v>
      </c>
      <c r="L711" s="472">
        <f t="shared" si="229"/>
        <v>10994.3</v>
      </c>
      <c r="M711" s="472">
        <f t="shared" si="229"/>
        <v>10293.969999999999</v>
      </c>
      <c r="N711" s="472">
        <f t="shared" si="229"/>
        <v>11541.29</v>
      </c>
      <c r="O711" s="472">
        <f t="shared" si="229"/>
        <v>13054.73</v>
      </c>
      <c r="P711" s="472">
        <f t="shared" si="229"/>
        <v>13884.49</v>
      </c>
      <c r="Q711" s="472">
        <f>SUM(E711:P711)</f>
        <v>150045.25</v>
      </c>
    </row>
    <row r="712" spans="1:17" s="222" customFormat="1" x14ac:dyDescent="0.2">
      <c r="A712" s="259">
        <f>A711+1</f>
        <v>14</v>
      </c>
      <c r="C712" s="222" t="str">
        <f>C706</f>
        <v xml:space="preserve">    Next 600 Mcf</v>
      </c>
      <c r="D712" s="782">
        <f>Input!R31</f>
        <v>2.2294</v>
      </c>
      <c r="E712" s="472">
        <f t="shared" ref="E712:O712" si="230">ROUND(E706*$D$712,2)</f>
        <v>11275.19</v>
      </c>
      <c r="F712" s="472">
        <f t="shared" si="230"/>
        <v>11280.99</v>
      </c>
      <c r="G712" s="472">
        <f t="shared" si="230"/>
        <v>11260.03</v>
      </c>
      <c r="H712" s="472">
        <f t="shared" si="230"/>
        <v>10428.91</v>
      </c>
      <c r="I712" s="472">
        <f t="shared" si="230"/>
        <v>10357.120000000001</v>
      </c>
      <c r="J712" s="472">
        <f t="shared" si="230"/>
        <v>9775.92</v>
      </c>
      <c r="K712" s="472">
        <f t="shared" si="230"/>
        <v>10613.06</v>
      </c>
      <c r="L712" s="472">
        <f t="shared" si="230"/>
        <v>11642.37</v>
      </c>
      <c r="M712" s="472">
        <f t="shared" si="230"/>
        <v>11969.65</v>
      </c>
      <c r="N712" s="472">
        <f t="shared" si="230"/>
        <v>12862.97</v>
      </c>
      <c r="O712" s="472">
        <f t="shared" si="230"/>
        <v>10494.23</v>
      </c>
      <c r="P712" s="472">
        <f>ROUND(P706*$D$712,2)</f>
        <v>10329.700000000001</v>
      </c>
      <c r="Q712" s="472">
        <f>SUM(E712:P712)</f>
        <v>132290.13999999998</v>
      </c>
    </row>
    <row r="713" spans="1:17" s="222" customFormat="1" x14ac:dyDescent="0.2">
      <c r="A713" s="259">
        <f>A712+1</f>
        <v>15</v>
      </c>
      <c r="C713" s="222" t="str">
        <f>C707</f>
        <v xml:space="preserve">    Over 1,000 Mcf</v>
      </c>
      <c r="D713" s="782">
        <f>Input!S31</f>
        <v>2.0294000000000003</v>
      </c>
      <c r="E713" s="521">
        <f t="shared" ref="E713:O713" si="231">ROUND(E707*$D$713,2)</f>
        <v>38730.9</v>
      </c>
      <c r="F713" s="521">
        <f t="shared" si="231"/>
        <v>39028.81</v>
      </c>
      <c r="G713" s="521">
        <f t="shared" si="231"/>
        <v>36411.699999999997</v>
      </c>
      <c r="H713" s="521">
        <f t="shared" si="231"/>
        <v>35297.760000000002</v>
      </c>
      <c r="I713" s="521">
        <f t="shared" si="231"/>
        <v>37354.559999999998</v>
      </c>
      <c r="J713" s="521">
        <f t="shared" si="231"/>
        <v>37212.5</v>
      </c>
      <c r="K713" s="521">
        <f t="shared" si="231"/>
        <v>36359.54</v>
      </c>
      <c r="L713" s="521">
        <f t="shared" si="231"/>
        <v>36441.120000000003</v>
      </c>
      <c r="M713" s="521">
        <f t="shared" si="231"/>
        <v>36631.89</v>
      </c>
      <c r="N713" s="521">
        <f t="shared" si="231"/>
        <v>38777.17</v>
      </c>
      <c r="O713" s="521">
        <f t="shared" si="231"/>
        <v>38945</v>
      </c>
      <c r="P713" s="521">
        <f>ROUND(P707*$D$713,2)</f>
        <v>38169.56</v>
      </c>
      <c r="Q713" s="521">
        <f>SUM(E713:P713)</f>
        <v>449360.51</v>
      </c>
    </row>
    <row r="714" spans="1:17" s="222" customFormat="1" x14ac:dyDescent="0.2">
      <c r="A714" s="259"/>
      <c r="D714" s="731"/>
      <c r="E714" s="427">
        <f t="shared" ref="E714:P714" si="232">SUM(E710:E713)</f>
        <v>71950.84</v>
      </c>
      <c r="F714" s="427">
        <f t="shared" si="232"/>
        <v>69553.72</v>
      </c>
      <c r="G714" s="427">
        <f t="shared" si="232"/>
        <v>67416.56</v>
      </c>
      <c r="H714" s="427">
        <f t="shared" si="232"/>
        <v>64889.67</v>
      </c>
      <c r="I714" s="427">
        <f t="shared" si="232"/>
        <v>61994.35</v>
      </c>
      <c r="J714" s="427">
        <f t="shared" si="232"/>
        <v>59408.770000000004</v>
      </c>
      <c r="K714" s="427">
        <f t="shared" si="232"/>
        <v>59407.51</v>
      </c>
      <c r="L714" s="427">
        <f t="shared" si="232"/>
        <v>61753.68</v>
      </c>
      <c r="M714" s="427">
        <f t="shared" si="232"/>
        <v>61747.02</v>
      </c>
      <c r="N714" s="427">
        <f t="shared" si="232"/>
        <v>66366.290000000008</v>
      </c>
      <c r="O714" s="427">
        <f t="shared" si="232"/>
        <v>66844.78</v>
      </c>
      <c r="P714" s="427">
        <f t="shared" si="232"/>
        <v>67347.58</v>
      </c>
      <c r="Q714" s="427">
        <f>SUM(E714:P714)</f>
        <v>778680.77</v>
      </c>
    </row>
    <row r="715" spans="1:17" s="222" customFormat="1" x14ac:dyDescent="0.2">
      <c r="A715" s="259"/>
      <c r="D715" s="731"/>
      <c r="E715" s="288"/>
      <c r="F715" s="288"/>
      <c r="G715" s="288"/>
      <c r="H715" s="288"/>
      <c r="I715" s="288"/>
      <c r="J715" s="288"/>
      <c r="K715" s="288"/>
      <c r="L715" s="288"/>
      <c r="M715" s="288"/>
      <c r="N715" s="288"/>
      <c r="O715" s="288"/>
      <c r="P715" s="288"/>
      <c r="Q715" s="288"/>
    </row>
    <row r="716" spans="1:17" s="222" customFormat="1" x14ac:dyDescent="0.2">
      <c r="A716" s="259">
        <f>A713+1</f>
        <v>16</v>
      </c>
      <c r="C716" s="222" t="s">
        <v>204</v>
      </c>
      <c r="D716" s="731"/>
      <c r="E716" s="427">
        <f t="shared" ref="E716:P716" si="233">E700+E701+E714</f>
        <v>73872.509999999995</v>
      </c>
      <c r="F716" s="427">
        <f t="shared" si="233"/>
        <v>71475.39</v>
      </c>
      <c r="G716" s="427">
        <f t="shared" si="233"/>
        <v>69338.23</v>
      </c>
      <c r="H716" s="427">
        <f t="shared" si="233"/>
        <v>66811.34</v>
      </c>
      <c r="I716" s="427">
        <f t="shared" si="233"/>
        <v>63916.02</v>
      </c>
      <c r="J716" s="427">
        <f t="shared" si="233"/>
        <v>61375.130000000005</v>
      </c>
      <c r="K716" s="427">
        <f t="shared" si="233"/>
        <v>61373.87</v>
      </c>
      <c r="L716" s="427">
        <f t="shared" si="233"/>
        <v>63764.73</v>
      </c>
      <c r="M716" s="427">
        <f t="shared" si="233"/>
        <v>63713.38</v>
      </c>
      <c r="N716" s="427">
        <f t="shared" si="233"/>
        <v>68332.650000000009</v>
      </c>
      <c r="O716" s="427">
        <f t="shared" si="233"/>
        <v>68811.14</v>
      </c>
      <c r="P716" s="427">
        <f t="shared" si="233"/>
        <v>69313.94</v>
      </c>
      <c r="Q716" s="427">
        <f>SUM(E716:P716)</f>
        <v>802098.33000000007</v>
      </c>
    </row>
    <row r="717" spans="1:17" s="222" customFormat="1" x14ac:dyDescent="0.2">
      <c r="A717" s="259"/>
      <c r="D717" s="731"/>
      <c r="E717" s="482"/>
      <c r="F717" s="482"/>
      <c r="G717" s="482"/>
      <c r="H717" s="482"/>
      <c r="I717" s="482"/>
      <c r="J717" s="482"/>
      <c r="K717" s="482"/>
      <c r="L717" s="482"/>
      <c r="M717" s="482"/>
      <c r="N717" s="482"/>
      <c r="O717" s="482"/>
      <c r="P717" s="482"/>
      <c r="Q717" s="482"/>
    </row>
    <row r="718" spans="1:17" s="222" customFormat="1" x14ac:dyDescent="0.2">
      <c r="A718" s="259">
        <f>A716+1</f>
        <v>17</v>
      </c>
      <c r="C718" s="222" t="s">
        <v>208</v>
      </c>
      <c r="D718" s="782">
        <f>EGC</f>
        <v>2.2090999999999998</v>
      </c>
      <c r="E718" s="427">
        <f t="shared" ref="E718:P718" si="234">ROUND(E708*$D$718,2)</f>
        <v>72900.740000000005</v>
      </c>
      <c r="F718" s="427">
        <f t="shared" si="234"/>
        <v>70690.98</v>
      </c>
      <c r="G718" s="427">
        <f t="shared" si="234"/>
        <v>68261.19</v>
      </c>
      <c r="H718" s="427">
        <f t="shared" si="234"/>
        <v>65830.960000000006</v>
      </c>
      <c r="I718" s="427">
        <f t="shared" si="234"/>
        <v>63622.74</v>
      </c>
      <c r="J718" s="427">
        <f t="shared" si="234"/>
        <v>61302.3</v>
      </c>
      <c r="K718" s="427">
        <f t="shared" si="234"/>
        <v>61302.3</v>
      </c>
      <c r="L718" s="427">
        <f t="shared" si="234"/>
        <v>63512.07</v>
      </c>
      <c r="M718" s="427">
        <f t="shared" si="234"/>
        <v>63512.07</v>
      </c>
      <c r="N718" s="427">
        <f t="shared" si="234"/>
        <v>68150.509999999995</v>
      </c>
      <c r="O718" s="427">
        <f t="shared" si="234"/>
        <v>68261.19</v>
      </c>
      <c r="P718" s="427">
        <f t="shared" si="234"/>
        <v>68482.320000000007</v>
      </c>
      <c r="Q718" s="427">
        <f>SUM(E718:P718)</f>
        <v>795829.36999999988</v>
      </c>
    </row>
    <row r="719" spans="1:17" s="222" customFormat="1" x14ac:dyDescent="0.2">
      <c r="A719" s="259"/>
      <c r="D719" s="731"/>
      <c r="E719" s="482"/>
      <c r="F719" s="482"/>
      <c r="G719" s="482"/>
      <c r="H719" s="482"/>
      <c r="I719" s="482"/>
      <c r="J719" s="482"/>
      <c r="K719" s="482"/>
      <c r="L719" s="482"/>
      <c r="M719" s="482"/>
      <c r="N719" s="482"/>
      <c r="O719" s="482"/>
      <c r="P719" s="482"/>
      <c r="Q719" s="482"/>
    </row>
    <row r="720" spans="1:17" s="222" customFormat="1" x14ac:dyDescent="0.2">
      <c r="A720" s="713">
        <f>A718+1</f>
        <v>18</v>
      </c>
      <c r="B720" s="446"/>
      <c r="C720" s="446" t="s">
        <v>206</v>
      </c>
      <c r="D720" s="732"/>
      <c r="E720" s="450">
        <f t="shared" ref="E720:P720" si="235">E716+E718</f>
        <v>146773.25</v>
      </c>
      <c r="F720" s="450">
        <f t="shared" si="235"/>
        <v>142166.37</v>
      </c>
      <c r="G720" s="450">
        <f t="shared" si="235"/>
        <v>137599.41999999998</v>
      </c>
      <c r="H720" s="450">
        <f t="shared" si="235"/>
        <v>132642.29999999999</v>
      </c>
      <c r="I720" s="450">
        <f t="shared" si="235"/>
        <v>127538.76</v>
      </c>
      <c r="J720" s="450">
        <f t="shared" si="235"/>
        <v>122677.43000000001</v>
      </c>
      <c r="K720" s="450">
        <f t="shared" si="235"/>
        <v>122676.17000000001</v>
      </c>
      <c r="L720" s="450">
        <f t="shared" si="235"/>
        <v>127276.8</v>
      </c>
      <c r="M720" s="450">
        <f t="shared" si="235"/>
        <v>127225.45</v>
      </c>
      <c r="N720" s="450">
        <f t="shared" si="235"/>
        <v>136483.16</v>
      </c>
      <c r="O720" s="450">
        <f t="shared" si="235"/>
        <v>137072.33000000002</v>
      </c>
      <c r="P720" s="450">
        <f t="shared" si="235"/>
        <v>137796.26</v>
      </c>
      <c r="Q720" s="450">
        <f>SUM(E720:P720)</f>
        <v>1597927.7</v>
      </c>
    </row>
    <row r="721" spans="1:17" s="222" customFormat="1" x14ac:dyDescent="0.2">
      <c r="A721" s="259"/>
      <c r="D721" s="733"/>
      <c r="F721" s="288"/>
      <c r="G721" s="469"/>
      <c r="H721" s="288"/>
      <c r="I721" s="293"/>
      <c r="J721" s="288"/>
      <c r="K721" s="288"/>
      <c r="L721" s="288"/>
      <c r="M721" s="288"/>
      <c r="N721" s="288"/>
      <c r="O721" s="288"/>
      <c r="P721" s="288"/>
      <c r="Q721" s="536"/>
    </row>
    <row r="722" spans="1:17" s="222" customFormat="1" x14ac:dyDescent="0.2">
      <c r="A722" s="259">
        <f>A720+1</f>
        <v>19</v>
      </c>
      <c r="C722" s="222" t="s">
        <v>196</v>
      </c>
      <c r="D722" s="733"/>
      <c r="F722" s="288"/>
      <c r="G722" s="469"/>
      <c r="H722" s="288"/>
      <c r="I722" s="293"/>
      <c r="J722" s="288"/>
      <c r="K722" s="288"/>
      <c r="L722" s="288"/>
      <c r="M722" s="288"/>
      <c r="N722" s="288"/>
      <c r="O722" s="288"/>
      <c r="P722" s="288"/>
      <c r="Q722" s="536"/>
    </row>
    <row r="723" spans="1:17" s="222" customFormat="1" x14ac:dyDescent="0.2">
      <c r="A723" s="259">
        <f>A722+1</f>
        <v>20</v>
      </c>
      <c r="C723" s="286" t="s">
        <v>214</v>
      </c>
      <c r="D723" s="782">
        <f>Input!AA31</f>
        <v>2.5999999999999999E-2</v>
      </c>
      <c r="E723" s="427">
        <f t="shared" ref="E723:P723" si="236">ROUND(E708*$D$723,2)</f>
        <v>858.01</v>
      </c>
      <c r="F723" s="427">
        <f t="shared" si="236"/>
        <v>832</v>
      </c>
      <c r="G723" s="427">
        <f t="shared" si="236"/>
        <v>803.4</v>
      </c>
      <c r="H723" s="427">
        <f t="shared" si="236"/>
        <v>774.8</v>
      </c>
      <c r="I723" s="427">
        <f t="shared" si="236"/>
        <v>748.81</v>
      </c>
      <c r="J723" s="427">
        <f t="shared" si="236"/>
        <v>721.5</v>
      </c>
      <c r="K723" s="427">
        <f t="shared" si="236"/>
        <v>721.5</v>
      </c>
      <c r="L723" s="427">
        <f t="shared" si="236"/>
        <v>747.51</v>
      </c>
      <c r="M723" s="427">
        <f t="shared" si="236"/>
        <v>747.51</v>
      </c>
      <c r="N723" s="427">
        <f t="shared" si="236"/>
        <v>802.1</v>
      </c>
      <c r="O723" s="427">
        <f t="shared" si="236"/>
        <v>803.4</v>
      </c>
      <c r="P723" s="427">
        <f t="shared" si="236"/>
        <v>806</v>
      </c>
      <c r="Q723" s="427">
        <f>SUM(E723:P723)</f>
        <v>9366.5400000000009</v>
      </c>
    </row>
    <row r="724" spans="1:17" s="222" customFormat="1" x14ac:dyDescent="0.2">
      <c r="A724" s="259"/>
      <c r="D724" s="286"/>
      <c r="E724" s="482"/>
      <c r="F724" s="482"/>
      <c r="G724" s="482"/>
      <c r="H724" s="482"/>
      <c r="I724" s="482"/>
      <c r="J724" s="482"/>
      <c r="K724" s="482"/>
      <c r="L724" s="482"/>
      <c r="M724" s="482"/>
      <c r="N724" s="482"/>
      <c r="O724" s="482"/>
      <c r="P724" s="482"/>
      <c r="Q724" s="482"/>
    </row>
    <row r="725" spans="1:17" s="222" customFormat="1" ht="10.8" thickBot="1" x14ac:dyDescent="0.25">
      <c r="A725" s="717">
        <f>A723+1</f>
        <v>21</v>
      </c>
      <c r="B725" s="489"/>
      <c r="C725" s="718" t="s">
        <v>205</v>
      </c>
      <c r="D725" s="719"/>
      <c r="E725" s="492">
        <f>E720+E723</f>
        <v>147631.26</v>
      </c>
      <c r="F725" s="492">
        <f t="shared" ref="F725:P725" si="237">F720+F723</f>
        <v>142998.37</v>
      </c>
      <c r="G725" s="492">
        <f t="shared" si="237"/>
        <v>138402.81999999998</v>
      </c>
      <c r="H725" s="492">
        <f t="shared" si="237"/>
        <v>133417.09999999998</v>
      </c>
      <c r="I725" s="492">
        <f t="shared" si="237"/>
        <v>128287.56999999999</v>
      </c>
      <c r="J725" s="492">
        <f t="shared" si="237"/>
        <v>123398.93000000001</v>
      </c>
      <c r="K725" s="492">
        <f t="shared" si="237"/>
        <v>123397.67000000001</v>
      </c>
      <c r="L725" s="492">
        <f t="shared" si="237"/>
        <v>128024.31</v>
      </c>
      <c r="M725" s="492">
        <f t="shared" si="237"/>
        <v>127972.95999999999</v>
      </c>
      <c r="N725" s="492">
        <f t="shared" si="237"/>
        <v>137285.26</v>
      </c>
      <c r="O725" s="492">
        <f t="shared" si="237"/>
        <v>137875.73000000001</v>
      </c>
      <c r="P725" s="492">
        <f t="shared" si="237"/>
        <v>138602.26</v>
      </c>
      <c r="Q725" s="492">
        <f>SUM(E725:P725)</f>
        <v>1607294.24</v>
      </c>
    </row>
    <row r="726" spans="1:17" s="222" customFormat="1" ht="10.8" thickTop="1" x14ac:dyDescent="0.2">
      <c r="A726" s="259"/>
      <c r="D726" s="286"/>
      <c r="F726" s="288"/>
      <c r="G726" s="469"/>
      <c r="H726" s="288"/>
      <c r="I726" s="293"/>
      <c r="J726" s="288"/>
      <c r="K726" s="288"/>
      <c r="L726" s="288"/>
      <c r="M726" s="288"/>
      <c r="N726" s="288"/>
      <c r="O726" s="288"/>
      <c r="P726" s="288"/>
    </row>
    <row r="727" spans="1:17" s="222" customFormat="1" x14ac:dyDescent="0.2">
      <c r="A727" s="259"/>
      <c r="D727" s="286"/>
      <c r="F727" s="288"/>
      <c r="G727" s="469"/>
      <c r="H727" s="288"/>
      <c r="I727" s="293"/>
      <c r="J727" s="288"/>
      <c r="K727" s="288"/>
      <c r="L727" s="288"/>
      <c r="M727" s="288"/>
      <c r="N727" s="288"/>
      <c r="O727" s="288"/>
      <c r="P727" s="288"/>
    </row>
    <row r="728" spans="1:17" s="222" customFormat="1" x14ac:dyDescent="0.2">
      <c r="A728" s="622" t="str">
        <f>$A$265</f>
        <v>[1] Reflects Normalized Volumes.</v>
      </c>
      <c r="D728" s="286"/>
      <c r="F728" s="288"/>
      <c r="G728" s="469"/>
      <c r="H728" s="288"/>
      <c r="I728" s="293"/>
      <c r="J728" s="288"/>
      <c r="K728" s="288"/>
      <c r="L728" s="288"/>
      <c r="M728" s="288"/>
      <c r="N728" s="288"/>
      <c r="O728" s="288"/>
      <c r="P728" s="288"/>
    </row>
    <row r="729" spans="1:17" s="222" customFormat="1" x14ac:dyDescent="0.2">
      <c r="A729" s="622" t="str">
        <f>"[2] Reflects Gas Cost Adjustment Rate"&amp;CONCATENATE(" as of ",EGCDATE)&amp;"."</f>
        <v>[2] Reflects Gas Cost Adjustment Rate as of March 1, 2016.</v>
      </c>
      <c r="D729" s="286"/>
      <c r="F729" s="288"/>
      <c r="G729" s="469"/>
      <c r="H729" s="288"/>
      <c r="I729" s="293"/>
      <c r="J729" s="288"/>
      <c r="K729" s="288"/>
      <c r="L729" s="288"/>
      <c r="M729" s="288"/>
      <c r="N729" s="288"/>
      <c r="O729" s="288"/>
      <c r="P729" s="288"/>
    </row>
    <row r="730" spans="1:17" s="222" customFormat="1" x14ac:dyDescent="0.2">
      <c r="A730" s="995" t="str">
        <f>CONAME</f>
        <v>Columbia Gas of Kentucky, Inc.</v>
      </c>
      <c r="B730" s="995"/>
      <c r="C730" s="995"/>
      <c r="D730" s="995"/>
      <c r="E730" s="995"/>
      <c r="F730" s="995"/>
      <c r="G730" s="995"/>
      <c r="H730" s="995"/>
      <c r="I730" s="995"/>
      <c r="J730" s="995"/>
      <c r="K730" s="995"/>
      <c r="L730" s="995"/>
      <c r="M730" s="995"/>
      <c r="N730" s="995"/>
      <c r="O730" s="995"/>
      <c r="P730" s="995"/>
      <c r="Q730" s="995"/>
    </row>
    <row r="731" spans="1:17" s="222" customFormat="1" x14ac:dyDescent="0.2">
      <c r="A731" s="978" t="str">
        <f>case</f>
        <v>Case No. 2016-00162</v>
      </c>
      <c r="B731" s="978"/>
      <c r="C731" s="978"/>
      <c r="D731" s="978"/>
      <c r="E731" s="978"/>
      <c r="F731" s="978"/>
      <c r="G731" s="978"/>
      <c r="H731" s="978"/>
      <c r="I731" s="978"/>
      <c r="J731" s="978"/>
      <c r="K731" s="978"/>
      <c r="L731" s="978"/>
      <c r="M731" s="978"/>
      <c r="N731" s="978"/>
      <c r="O731" s="978"/>
      <c r="P731" s="978"/>
      <c r="Q731" s="978"/>
    </row>
    <row r="732" spans="1:17" s="222" customFormat="1" x14ac:dyDescent="0.2">
      <c r="A732" s="996" t="s">
        <v>200</v>
      </c>
      <c r="B732" s="996"/>
      <c r="C732" s="996"/>
      <c r="D732" s="996"/>
      <c r="E732" s="996"/>
      <c r="F732" s="996"/>
      <c r="G732" s="996"/>
      <c r="H732" s="996"/>
      <c r="I732" s="996"/>
      <c r="J732" s="996"/>
      <c r="K732" s="996"/>
      <c r="L732" s="996"/>
      <c r="M732" s="996"/>
      <c r="N732" s="996"/>
      <c r="O732" s="996"/>
      <c r="P732" s="996"/>
      <c r="Q732" s="996"/>
    </row>
    <row r="733" spans="1:17" s="222" customFormat="1" x14ac:dyDescent="0.2">
      <c r="A733" s="995" t="str">
        <f>TYDESC</f>
        <v>For the 12 Months Ended December 31, 2017</v>
      </c>
      <c r="B733" s="995"/>
      <c r="C733" s="995"/>
      <c r="D733" s="995"/>
      <c r="E733" s="995"/>
      <c r="F733" s="995"/>
      <c r="G733" s="995"/>
      <c r="H733" s="995"/>
      <c r="I733" s="995"/>
      <c r="J733" s="995"/>
      <c r="K733" s="995"/>
      <c r="L733" s="995"/>
      <c r="M733" s="995"/>
      <c r="N733" s="995"/>
      <c r="O733" s="995"/>
      <c r="P733" s="995"/>
      <c r="Q733" s="995"/>
    </row>
    <row r="734" spans="1:17" s="222" customFormat="1" x14ac:dyDescent="0.2">
      <c r="A734" s="997" t="s">
        <v>39</v>
      </c>
      <c r="B734" s="997"/>
      <c r="C734" s="997"/>
      <c r="D734" s="997"/>
      <c r="E734" s="997"/>
      <c r="F734" s="997"/>
      <c r="G734" s="997"/>
      <c r="H734" s="997"/>
      <c r="I734" s="997"/>
      <c r="J734" s="997"/>
      <c r="K734" s="997"/>
      <c r="L734" s="997"/>
      <c r="M734" s="997"/>
      <c r="N734" s="997"/>
      <c r="O734" s="997"/>
      <c r="P734" s="997"/>
      <c r="Q734" s="997"/>
    </row>
    <row r="735" spans="1:17" s="222" customFormat="1" x14ac:dyDescent="0.2">
      <c r="A735" s="711" t="str">
        <f>$A$52</f>
        <v>Data: __ Base Period _X_ Forecasted Period</v>
      </c>
      <c r="D735" s="286"/>
      <c r="F735" s="288"/>
      <c r="G735" s="469"/>
      <c r="H735" s="288"/>
      <c r="I735" s="293"/>
      <c r="J735" s="288"/>
      <c r="K735" s="288"/>
      <c r="L735" s="288"/>
      <c r="M735" s="288"/>
      <c r="N735" s="288"/>
      <c r="O735" s="288"/>
      <c r="P735" s="288"/>
    </row>
    <row r="736" spans="1:17" s="222" customFormat="1" x14ac:dyDescent="0.2">
      <c r="A736" s="711" t="str">
        <f>$A$53</f>
        <v>Type of Filing: X Original _ Update _ Revised</v>
      </c>
      <c r="D736" s="286"/>
      <c r="F736" s="288"/>
      <c r="G736" s="469"/>
      <c r="H736" s="288"/>
      <c r="I736" s="293"/>
      <c r="J736" s="288"/>
      <c r="K736" s="288"/>
      <c r="L736" s="288"/>
      <c r="M736" s="288"/>
      <c r="N736" s="288"/>
      <c r="O736" s="288"/>
      <c r="P736" s="288"/>
      <c r="Q736" s="720" t="str">
        <f>$Q$53</f>
        <v>Schedule M-2.3</v>
      </c>
    </row>
    <row r="737" spans="1:17" s="222" customFormat="1" x14ac:dyDescent="0.2">
      <c r="A737" s="711" t="str">
        <f>$A$54</f>
        <v>Work Paper Reference No(s):</v>
      </c>
      <c r="D737" s="286"/>
      <c r="F737" s="288"/>
      <c r="G737" s="469"/>
      <c r="H737" s="288"/>
      <c r="I737" s="293"/>
      <c r="J737" s="288"/>
      <c r="K737" s="288"/>
      <c r="L737" s="288"/>
      <c r="M737" s="288"/>
      <c r="N737" s="288"/>
      <c r="O737" s="288"/>
      <c r="P737" s="288"/>
      <c r="Q737" s="720" t="s">
        <v>504</v>
      </c>
    </row>
    <row r="738" spans="1:17" s="222" customFormat="1" x14ac:dyDescent="0.2">
      <c r="A738" s="712" t="str">
        <f>$A$55</f>
        <v>12 Months Forecasted</v>
      </c>
      <c r="D738" s="286"/>
      <c r="F738" s="288"/>
      <c r="G738" s="469"/>
      <c r="H738" s="288"/>
      <c r="I738" s="293"/>
      <c r="J738" s="288"/>
      <c r="K738" s="288"/>
      <c r="L738" s="288"/>
      <c r="M738" s="288"/>
      <c r="N738" s="288"/>
      <c r="O738" s="288"/>
      <c r="P738" s="288"/>
      <c r="Q738" s="720" t="str">
        <f>Witness</f>
        <v>Witness:  M. J. Bell</v>
      </c>
    </row>
    <row r="739" spans="1:17" s="222" customFormat="1" x14ac:dyDescent="0.2">
      <c r="A739" s="998" t="s">
        <v>293</v>
      </c>
      <c r="B739" s="998"/>
      <c r="C739" s="998"/>
      <c r="D739" s="998"/>
      <c r="E739" s="998"/>
      <c r="F739" s="998"/>
      <c r="G739" s="998"/>
      <c r="H739" s="998"/>
      <c r="I739" s="998"/>
      <c r="J739" s="998"/>
      <c r="K739" s="998"/>
      <c r="L739" s="998"/>
      <c r="M739" s="998"/>
      <c r="N739" s="998"/>
      <c r="O739" s="998"/>
      <c r="P739" s="998"/>
      <c r="Q739" s="998"/>
    </row>
    <row r="740" spans="1:17" s="222" customFormat="1" x14ac:dyDescent="0.2">
      <c r="A740" s="225"/>
      <c r="B740" s="302"/>
      <c r="C740" s="302"/>
      <c r="D740" s="304"/>
      <c r="E740" s="302"/>
      <c r="F740" s="495"/>
      <c r="G740" s="496"/>
      <c r="H740" s="495"/>
      <c r="I740" s="497"/>
      <c r="J740" s="495"/>
      <c r="K740" s="495"/>
      <c r="L740" s="495"/>
      <c r="M740" s="495"/>
      <c r="N740" s="495"/>
      <c r="O740" s="495"/>
      <c r="P740" s="495"/>
      <c r="Q740" s="302"/>
    </row>
    <row r="741" spans="1:17" s="222" customFormat="1" x14ac:dyDescent="0.2">
      <c r="A741" s="410" t="s">
        <v>1</v>
      </c>
      <c r="B741" s="410" t="s">
        <v>0</v>
      </c>
      <c r="C741" s="410" t="s">
        <v>41</v>
      </c>
      <c r="D741" s="416" t="s">
        <v>30</v>
      </c>
      <c r="E741" s="410"/>
      <c r="F741" s="722"/>
      <c r="G741" s="725"/>
      <c r="H741" s="722"/>
      <c r="I741" s="726"/>
      <c r="J741" s="722"/>
      <c r="K741" s="722"/>
      <c r="L741" s="722"/>
      <c r="M741" s="722"/>
      <c r="N741" s="722"/>
      <c r="O741" s="722"/>
      <c r="P741" s="722"/>
      <c r="Q741" s="230"/>
    </row>
    <row r="742" spans="1:17" s="222" customFormat="1" x14ac:dyDescent="0.2">
      <c r="A742" s="281" t="s">
        <v>3</v>
      </c>
      <c r="B742" s="281" t="s">
        <v>40</v>
      </c>
      <c r="C742" s="281" t="s">
        <v>4</v>
      </c>
      <c r="D742" s="420" t="s">
        <v>48</v>
      </c>
      <c r="E742" s="421" t="str">
        <f>B!$D$11</f>
        <v>Jan-17</v>
      </c>
      <c r="F742" s="421" t="str">
        <f>B!$E$11</f>
        <v>Feb-17</v>
      </c>
      <c r="G742" s="421" t="str">
        <f>B!$F$11</f>
        <v>Mar-17</v>
      </c>
      <c r="H742" s="421" t="str">
        <f>B!$G$11</f>
        <v>Apr-17</v>
      </c>
      <c r="I742" s="421" t="str">
        <f>B!$H$11</f>
        <v>May-17</v>
      </c>
      <c r="J742" s="421" t="str">
        <f>B!$I$11</f>
        <v>Jun-17</v>
      </c>
      <c r="K742" s="421" t="str">
        <f>B!$J$11</f>
        <v>Jul-17</v>
      </c>
      <c r="L742" s="421" t="str">
        <f>B!$K$11</f>
        <v>Aug-17</v>
      </c>
      <c r="M742" s="421" t="str">
        <f>B!$L$11</f>
        <v>Sep-17</v>
      </c>
      <c r="N742" s="421" t="str">
        <f>B!$M$11</f>
        <v>Oct-17</v>
      </c>
      <c r="O742" s="421" t="str">
        <f>B!$N$11</f>
        <v>Nov-17</v>
      </c>
      <c r="P742" s="421" t="str">
        <f>B!$O$11</f>
        <v>Dec-17</v>
      </c>
      <c r="Q742" s="421" t="s">
        <v>9</v>
      </c>
    </row>
    <row r="743" spans="1:17" s="222" customFormat="1" x14ac:dyDescent="0.2">
      <c r="A743" s="410"/>
      <c r="B743" s="229" t="s">
        <v>42</v>
      </c>
      <c r="C743" s="229" t="s">
        <v>43</v>
      </c>
      <c r="D743" s="423" t="s">
        <v>45</v>
      </c>
      <c r="E743" s="424" t="s">
        <v>46</v>
      </c>
      <c r="F743" s="424" t="s">
        <v>49</v>
      </c>
      <c r="G743" s="424" t="s">
        <v>50</v>
      </c>
      <c r="H743" s="424" t="s">
        <v>51</v>
      </c>
      <c r="I743" s="424" t="s">
        <v>52</v>
      </c>
      <c r="J743" s="425" t="s">
        <v>53</v>
      </c>
      <c r="K743" s="425" t="s">
        <v>54</v>
      </c>
      <c r="L743" s="425" t="s">
        <v>55</v>
      </c>
      <c r="M743" s="425" t="s">
        <v>56</v>
      </c>
      <c r="N743" s="425" t="s">
        <v>57</v>
      </c>
      <c r="O743" s="425" t="s">
        <v>58</v>
      </c>
      <c r="P743" s="425" t="s">
        <v>59</v>
      </c>
      <c r="Q743" s="425" t="s">
        <v>203</v>
      </c>
    </row>
    <row r="744" spans="1:17" s="222" customFormat="1" x14ac:dyDescent="0.2">
      <c r="A744" s="259"/>
      <c r="D744" s="286"/>
      <c r="E744" s="230"/>
      <c r="F744" s="727"/>
      <c r="G744" s="723"/>
      <c r="H744" s="727"/>
      <c r="I744" s="724"/>
      <c r="J744" s="727"/>
      <c r="K744" s="727"/>
      <c r="L744" s="727"/>
      <c r="M744" s="727"/>
      <c r="N744" s="727"/>
      <c r="O744" s="727"/>
      <c r="P744" s="727"/>
      <c r="Q744" s="230"/>
    </row>
    <row r="745" spans="1:17" s="222" customFormat="1" x14ac:dyDescent="0.2">
      <c r="A745" s="259">
        <v>1</v>
      </c>
      <c r="B745" s="222" t="str">
        <f>B188</f>
        <v xml:space="preserve">IS </v>
      </c>
      <c r="C745" s="222" t="str">
        <f>C188</f>
        <v>Interruptible Service - Industrial</v>
      </c>
      <c r="D745" s="286"/>
      <c r="F745" s="288"/>
      <c r="G745" s="469"/>
      <c r="H745" s="288"/>
      <c r="I745" s="293"/>
      <c r="J745" s="288"/>
      <c r="K745" s="288"/>
      <c r="L745" s="288"/>
      <c r="M745" s="288"/>
      <c r="N745" s="288"/>
      <c r="O745" s="288"/>
      <c r="P745" s="288"/>
    </row>
    <row r="746" spans="1:17" s="222" customFormat="1" x14ac:dyDescent="0.2">
      <c r="A746" s="259"/>
      <c r="D746" s="286"/>
      <c r="F746" s="288"/>
      <c r="G746" s="469"/>
      <c r="H746" s="288"/>
      <c r="I746" s="293"/>
      <c r="J746" s="288"/>
      <c r="K746" s="288"/>
      <c r="L746" s="288"/>
      <c r="M746" s="288"/>
      <c r="N746" s="288"/>
      <c r="O746" s="288"/>
      <c r="P746" s="288"/>
    </row>
    <row r="747" spans="1:17" s="222" customFormat="1" x14ac:dyDescent="0.2">
      <c r="A747" s="259">
        <v>2</v>
      </c>
      <c r="C747" s="262" t="s">
        <v>112</v>
      </c>
      <c r="D747" s="286"/>
      <c r="F747" s="288"/>
      <c r="G747" s="469"/>
      <c r="H747" s="288"/>
      <c r="I747" s="293"/>
      <c r="J747" s="288"/>
      <c r="K747" s="288"/>
      <c r="L747" s="288"/>
      <c r="M747" s="288"/>
      <c r="N747" s="288"/>
      <c r="O747" s="288"/>
      <c r="P747" s="288"/>
    </row>
    <row r="748" spans="1:17" s="222" customFormat="1" x14ac:dyDescent="0.2">
      <c r="A748" s="259"/>
      <c r="D748" s="286"/>
      <c r="F748" s="288"/>
      <c r="G748" s="469"/>
      <c r="H748" s="288"/>
      <c r="I748" s="293"/>
      <c r="J748" s="288"/>
      <c r="K748" s="288"/>
      <c r="L748" s="288"/>
      <c r="M748" s="288"/>
      <c r="N748" s="288"/>
      <c r="O748" s="288"/>
      <c r="P748" s="288"/>
    </row>
    <row r="749" spans="1:17" s="222" customFormat="1" x14ac:dyDescent="0.2">
      <c r="A749" s="259">
        <v>3</v>
      </c>
      <c r="C749" s="222" t="s">
        <v>202</v>
      </c>
      <c r="D749" s="286"/>
      <c r="E749" s="286">
        <f>B!D93</f>
        <v>0</v>
      </c>
      <c r="F749" s="286">
        <f>B!E93</f>
        <v>0</v>
      </c>
      <c r="G749" s="286">
        <f>B!F93</f>
        <v>0</v>
      </c>
      <c r="H749" s="286">
        <f>B!G93</f>
        <v>0</v>
      </c>
      <c r="I749" s="286">
        <f>B!H93</f>
        <v>0</v>
      </c>
      <c r="J749" s="286">
        <f>B!I93</f>
        <v>0</v>
      </c>
      <c r="K749" s="286">
        <f>B!J93</f>
        <v>0</v>
      </c>
      <c r="L749" s="286">
        <f>B!K93</f>
        <v>0</v>
      </c>
      <c r="M749" s="286">
        <f>B!L93</f>
        <v>0</v>
      </c>
      <c r="N749" s="286">
        <f>B!M93</f>
        <v>0</v>
      </c>
      <c r="O749" s="286">
        <f>B!N93</f>
        <v>0</v>
      </c>
      <c r="P749" s="286">
        <f>B!O93</f>
        <v>0</v>
      </c>
      <c r="Q749" s="286">
        <f>SUM(E749:P749)</f>
        <v>0</v>
      </c>
    </row>
    <row r="750" spans="1:17" s="222" customFormat="1" x14ac:dyDescent="0.2">
      <c r="A750" s="259">
        <v>4</v>
      </c>
      <c r="C750" s="222" t="s">
        <v>210</v>
      </c>
      <c r="D750" s="781">
        <f>Input!U36</f>
        <v>2007</v>
      </c>
      <c r="E750" s="427">
        <f t="shared" ref="E750:P750" si="238">ROUND(E749*$D$750,2)</f>
        <v>0</v>
      </c>
      <c r="F750" s="427">
        <f t="shared" si="238"/>
        <v>0</v>
      </c>
      <c r="G750" s="427">
        <f t="shared" si="238"/>
        <v>0</v>
      </c>
      <c r="H750" s="427">
        <f t="shared" si="238"/>
        <v>0</v>
      </c>
      <c r="I750" s="427">
        <f t="shared" si="238"/>
        <v>0</v>
      </c>
      <c r="J750" s="427">
        <f t="shared" si="238"/>
        <v>0</v>
      </c>
      <c r="K750" s="427">
        <f t="shared" si="238"/>
        <v>0</v>
      </c>
      <c r="L750" s="427">
        <f t="shared" si="238"/>
        <v>0</v>
      </c>
      <c r="M750" s="427">
        <f t="shared" si="238"/>
        <v>0</v>
      </c>
      <c r="N750" s="427">
        <f t="shared" si="238"/>
        <v>0</v>
      </c>
      <c r="O750" s="427">
        <f t="shared" si="238"/>
        <v>0</v>
      </c>
      <c r="P750" s="427">
        <f t="shared" si="238"/>
        <v>0</v>
      </c>
      <c r="Q750" s="427">
        <f>SUM(E750:P750)</f>
        <v>0</v>
      </c>
    </row>
    <row r="751" spans="1:17" s="222" customFormat="1" x14ac:dyDescent="0.2">
      <c r="A751" s="259">
        <f>A750+1</f>
        <v>5</v>
      </c>
      <c r="C751" s="222" t="s">
        <v>211</v>
      </c>
      <c r="D751" s="781">
        <f>Input!W36</f>
        <v>0</v>
      </c>
      <c r="E751" s="427">
        <f t="shared" ref="E751:P751" si="239">ROUND(E749*$D$751,2)</f>
        <v>0</v>
      </c>
      <c r="F751" s="427">
        <f t="shared" si="239"/>
        <v>0</v>
      </c>
      <c r="G751" s="427">
        <f t="shared" si="239"/>
        <v>0</v>
      </c>
      <c r="H751" s="427">
        <f t="shared" si="239"/>
        <v>0</v>
      </c>
      <c r="I751" s="427">
        <f t="shared" si="239"/>
        <v>0</v>
      </c>
      <c r="J751" s="427">
        <f t="shared" si="239"/>
        <v>0</v>
      </c>
      <c r="K751" s="427">
        <f t="shared" si="239"/>
        <v>0</v>
      </c>
      <c r="L751" s="427">
        <f t="shared" si="239"/>
        <v>0</v>
      </c>
      <c r="M751" s="427">
        <f t="shared" si="239"/>
        <v>0</v>
      </c>
      <c r="N751" s="427">
        <f t="shared" si="239"/>
        <v>0</v>
      </c>
      <c r="O751" s="427">
        <f t="shared" si="239"/>
        <v>0</v>
      </c>
      <c r="P751" s="427">
        <f t="shared" si="239"/>
        <v>0</v>
      </c>
      <c r="Q751" s="427">
        <f>SUM(E751:P751)</f>
        <v>0</v>
      </c>
    </row>
    <row r="752" spans="1:17" s="222" customFormat="1" x14ac:dyDescent="0.2">
      <c r="A752" s="259"/>
      <c r="D752" s="513"/>
      <c r="E752" s="288"/>
      <c r="F752" s="288"/>
      <c r="G752" s="288"/>
      <c r="H752" s="288"/>
      <c r="I752" s="288"/>
      <c r="J752" s="288"/>
      <c r="K752" s="288"/>
      <c r="L752" s="288"/>
      <c r="M752" s="288"/>
      <c r="N752" s="288"/>
      <c r="O752" s="288"/>
      <c r="P752" s="288"/>
      <c r="Q752" s="288"/>
    </row>
    <row r="753" spans="1:17" s="222" customFormat="1" x14ac:dyDescent="0.2">
      <c r="A753" s="259">
        <f>A751+1</f>
        <v>6</v>
      </c>
      <c r="C753" s="286" t="s">
        <v>209</v>
      </c>
      <c r="D753" s="286"/>
      <c r="E753" s="523"/>
      <c r="F753" s="523"/>
      <c r="G753" s="523"/>
      <c r="H753" s="523"/>
      <c r="I753" s="523"/>
      <c r="J753" s="523"/>
      <c r="K753" s="523"/>
      <c r="L753" s="523"/>
      <c r="M753" s="523"/>
      <c r="N753" s="523"/>
      <c r="O753" s="523"/>
      <c r="P753" s="523"/>
      <c r="Q753" s="293"/>
    </row>
    <row r="754" spans="1:17" s="222" customFormat="1" x14ac:dyDescent="0.2">
      <c r="A754" s="259">
        <f>A753+1</f>
        <v>7</v>
      </c>
      <c r="C754" s="286" t="str">
        <f>'C'!B133</f>
        <v xml:space="preserve">    First 30,000 Mcf</v>
      </c>
      <c r="D754" s="286"/>
      <c r="E754" s="293">
        <f>'C'!D133</f>
        <v>0</v>
      </c>
      <c r="F754" s="293">
        <f>'C'!E133</f>
        <v>0</v>
      </c>
      <c r="G754" s="293">
        <f>'C'!F133</f>
        <v>0</v>
      </c>
      <c r="H754" s="293">
        <f>'C'!G133</f>
        <v>0</v>
      </c>
      <c r="I754" s="293">
        <f>'C'!H133</f>
        <v>0</v>
      </c>
      <c r="J754" s="293">
        <f>'C'!I133</f>
        <v>0</v>
      </c>
      <c r="K754" s="293">
        <f>'C'!J133</f>
        <v>0</v>
      </c>
      <c r="L754" s="293">
        <f>'C'!K133</f>
        <v>0</v>
      </c>
      <c r="M754" s="293">
        <f>'C'!L133</f>
        <v>0</v>
      </c>
      <c r="N754" s="293">
        <f>'C'!M133</f>
        <v>0</v>
      </c>
      <c r="O754" s="293">
        <f>'C'!N133</f>
        <v>0</v>
      </c>
      <c r="P754" s="293">
        <f>'C'!O133</f>
        <v>0</v>
      </c>
      <c r="Q754" s="293">
        <f>SUM(E754:P754)</f>
        <v>0</v>
      </c>
    </row>
    <row r="755" spans="1:17" s="222" customFormat="1" x14ac:dyDescent="0.2">
      <c r="A755" s="259">
        <f>A754+1</f>
        <v>8</v>
      </c>
      <c r="C755" s="286" t="str">
        <f>'C'!B134</f>
        <v xml:space="preserve">    Next 70,000 Mcf</v>
      </c>
      <c r="D755" s="286"/>
      <c r="E755" s="293">
        <f>'C'!D134</f>
        <v>0</v>
      </c>
      <c r="F755" s="293">
        <f>'C'!E134</f>
        <v>0</v>
      </c>
      <c r="G755" s="293">
        <f>'C'!F134</f>
        <v>0</v>
      </c>
      <c r="H755" s="293">
        <f>'C'!G134</f>
        <v>0</v>
      </c>
      <c r="I755" s="293">
        <f>'C'!H134</f>
        <v>0</v>
      </c>
      <c r="J755" s="293">
        <f>'C'!I134</f>
        <v>0</v>
      </c>
      <c r="K755" s="293">
        <f>'C'!J134</f>
        <v>0</v>
      </c>
      <c r="L755" s="293">
        <f>'C'!K134</f>
        <v>0</v>
      </c>
      <c r="M755" s="293">
        <f>'C'!L134</f>
        <v>0</v>
      </c>
      <c r="N755" s="293">
        <f>'C'!M134</f>
        <v>0</v>
      </c>
      <c r="O755" s="293">
        <f>'C'!N134</f>
        <v>0</v>
      </c>
      <c r="P755" s="293">
        <f>'C'!O134</f>
        <v>0</v>
      </c>
      <c r="Q755" s="293">
        <f>SUM(E755:P755)</f>
        <v>0</v>
      </c>
    </row>
    <row r="756" spans="1:17" s="222" customFormat="1" x14ac:dyDescent="0.2">
      <c r="A756" s="259">
        <f>A755+1</f>
        <v>9</v>
      </c>
      <c r="C756" s="286" t="str">
        <f>'C'!B135</f>
        <v xml:space="preserve">    Over 100,000 Mcf</v>
      </c>
      <c r="D756" s="286"/>
      <c r="E756" s="515">
        <f>'C'!D135</f>
        <v>0</v>
      </c>
      <c r="F756" s="515">
        <f>'C'!E135</f>
        <v>0</v>
      </c>
      <c r="G756" s="515">
        <f>'C'!F135</f>
        <v>0</v>
      </c>
      <c r="H756" s="515">
        <f>'C'!G135</f>
        <v>0</v>
      </c>
      <c r="I756" s="515">
        <f>'C'!H135</f>
        <v>0</v>
      </c>
      <c r="J756" s="515">
        <f>'C'!I135</f>
        <v>0</v>
      </c>
      <c r="K756" s="515">
        <f>'C'!J135</f>
        <v>0</v>
      </c>
      <c r="L756" s="515">
        <f>'C'!K135</f>
        <v>0</v>
      </c>
      <c r="M756" s="515">
        <f>'C'!L135</f>
        <v>0</v>
      </c>
      <c r="N756" s="515">
        <f>'C'!M135</f>
        <v>0</v>
      </c>
      <c r="O756" s="515">
        <f>'C'!N135</f>
        <v>0</v>
      </c>
      <c r="P756" s="515">
        <f>'C'!O135</f>
        <v>0</v>
      </c>
      <c r="Q756" s="515">
        <f>SUM(E756:P756)</f>
        <v>0</v>
      </c>
    </row>
    <row r="757" spans="1:17" s="222" customFormat="1" x14ac:dyDescent="0.2">
      <c r="A757" s="259"/>
      <c r="C757" s="286"/>
      <c r="D757" s="286"/>
      <c r="E757" s="293">
        <f t="shared" ref="E757:P757" si="240">SUM(E754:E756)</f>
        <v>0</v>
      </c>
      <c r="F757" s="293">
        <f t="shared" si="240"/>
        <v>0</v>
      </c>
      <c r="G757" s="293">
        <f t="shared" si="240"/>
        <v>0</v>
      </c>
      <c r="H757" s="293">
        <f t="shared" si="240"/>
        <v>0</v>
      </c>
      <c r="I757" s="293">
        <f t="shared" si="240"/>
        <v>0</v>
      </c>
      <c r="J757" s="293">
        <f t="shared" si="240"/>
        <v>0</v>
      </c>
      <c r="K757" s="293">
        <f t="shared" si="240"/>
        <v>0</v>
      </c>
      <c r="L757" s="293">
        <f t="shared" si="240"/>
        <v>0</v>
      </c>
      <c r="M757" s="293">
        <f t="shared" si="240"/>
        <v>0</v>
      </c>
      <c r="N757" s="293">
        <f t="shared" si="240"/>
        <v>0</v>
      </c>
      <c r="O757" s="293">
        <f t="shared" si="240"/>
        <v>0</v>
      </c>
      <c r="P757" s="293">
        <f t="shared" si="240"/>
        <v>0</v>
      </c>
      <c r="Q757" s="293">
        <f>SUM(E757:P757)</f>
        <v>0</v>
      </c>
    </row>
    <row r="758" spans="1:17" s="222" customFormat="1" x14ac:dyDescent="0.2">
      <c r="A758" s="259">
        <f>A756+1</f>
        <v>10</v>
      </c>
      <c r="C758" s="222" t="s">
        <v>207</v>
      </c>
      <c r="D758" s="730"/>
      <c r="E758" s="288"/>
      <c r="F758" s="288"/>
      <c r="G758" s="288"/>
      <c r="H758" s="288"/>
      <c r="I758" s="288"/>
      <c r="J758" s="288"/>
      <c r="K758" s="288"/>
      <c r="L758" s="288"/>
      <c r="M758" s="288"/>
      <c r="N758" s="288"/>
      <c r="O758" s="288"/>
      <c r="P758" s="288"/>
      <c r="Q758" s="288"/>
    </row>
    <row r="759" spans="1:17" s="222" customFormat="1" x14ac:dyDescent="0.2">
      <c r="A759" s="259">
        <f>A758+1</f>
        <v>11</v>
      </c>
      <c r="C759" s="286" t="str">
        <f>C754</f>
        <v xml:space="preserve">    First 30,000 Mcf</v>
      </c>
      <c r="D759" s="782">
        <f>Input!P36</f>
        <v>0.6321</v>
      </c>
      <c r="E759" s="427">
        <f t="shared" ref="E759:P759" si="241">ROUND(E754*$D$759,2)</f>
        <v>0</v>
      </c>
      <c r="F759" s="427">
        <f t="shared" si="241"/>
        <v>0</v>
      </c>
      <c r="G759" s="427">
        <f t="shared" si="241"/>
        <v>0</v>
      </c>
      <c r="H759" s="427">
        <f t="shared" si="241"/>
        <v>0</v>
      </c>
      <c r="I759" s="427">
        <f t="shared" si="241"/>
        <v>0</v>
      </c>
      <c r="J759" s="427">
        <f t="shared" si="241"/>
        <v>0</v>
      </c>
      <c r="K759" s="427">
        <f t="shared" si="241"/>
        <v>0</v>
      </c>
      <c r="L759" s="427">
        <f t="shared" si="241"/>
        <v>0</v>
      </c>
      <c r="M759" s="427">
        <f t="shared" si="241"/>
        <v>0</v>
      </c>
      <c r="N759" s="427">
        <f t="shared" si="241"/>
        <v>0</v>
      </c>
      <c r="O759" s="427">
        <f t="shared" si="241"/>
        <v>0</v>
      </c>
      <c r="P759" s="427">
        <f t="shared" si="241"/>
        <v>0</v>
      </c>
      <c r="Q759" s="427">
        <f>SUM(E759:P759)</f>
        <v>0</v>
      </c>
    </row>
    <row r="760" spans="1:17" s="222" customFormat="1" x14ac:dyDescent="0.2">
      <c r="A760" s="259">
        <f>A759+1</f>
        <v>12</v>
      </c>
      <c r="C760" s="286" t="str">
        <f>C755</f>
        <v xml:space="preserve">    Next 70,000 Mcf</v>
      </c>
      <c r="D760" s="782">
        <f>Input!Q36</f>
        <v>0.37730000000000002</v>
      </c>
      <c r="E760" s="893">
        <f>ROUND(E755*$D$760,2)</f>
        <v>0</v>
      </c>
      <c r="F760" s="893">
        <f t="shared" ref="F760:P760" si="242">ROUND(F755*$D$760,2)</f>
        <v>0</v>
      </c>
      <c r="G760" s="893">
        <f t="shared" si="242"/>
        <v>0</v>
      </c>
      <c r="H760" s="893">
        <f t="shared" si="242"/>
        <v>0</v>
      </c>
      <c r="I760" s="893">
        <f t="shared" si="242"/>
        <v>0</v>
      </c>
      <c r="J760" s="893">
        <f t="shared" si="242"/>
        <v>0</v>
      </c>
      <c r="K760" s="893">
        <f t="shared" si="242"/>
        <v>0</v>
      </c>
      <c r="L760" s="893">
        <f t="shared" si="242"/>
        <v>0</v>
      </c>
      <c r="M760" s="893">
        <f t="shared" si="242"/>
        <v>0</v>
      </c>
      <c r="N760" s="893">
        <f t="shared" si="242"/>
        <v>0</v>
      </c>
      <c r="O760" s="893">
        <f t="shared" si="242"/>
        <v>0</v>
      </c>
      <c r="P760" s="893">
        <f t="shared" si="242"/>
        <v>0</v>
      </c>
      <c r="Q760" s="893">
        <f>SUM(E760:P760)</f>
        <v>0</v>
      </c>
    </row>
    <row r="761" spans="1:17" s="222" customFormat="1" x14ac:dyDescent="0.2">
      <c r="A761" s="259">
        <f>A760+1</f>
        <v>13</v>
      </c>
      <c r="C761" s="286" t="str">
        <f>C756</f>
        <v xml:space="preserve">    Over 100,000 Mcf</v>
      </c>
      <c r="D761" s="782">
        <f>Input!R36</f>
        <v>0.32829999999999998</v>
      </c>
      <c r="E761" s="273">
        <f t="shared" ref="E761:P761" si="243">ROUND(E756*$D$761,2)</f>
        <v>0</v>
      </c>
      <c r="F761" s="273">
        <f t="shared" si="243"/>
        <v>0</v>
      </c>
      <c r="G761" s="273">
        <f t="shared" si="243"/>
        <v>0</v>
      </c>
      <c r="H761" s="273">
        <f t="shared" si="243"/>
        <v>0</v>
      </c>
      <c r="I761" s="273">
        <f t="shared" si="243"/>
        <v>0</v>
      </c>
      <c r="J761" s="273">
        <f t="shared" si="243"/>
        <v>0</v>
      </c>
      <c r="K761" s="273">
        <f t="shared" si="243"/>
        <v>0</v>
      </c>
      <c r="L761" s="273">
        <f t="shared" si="243"/>
        <v>0</v>
      </c>
      <c r="M761" s="273">
        <f t="shared" si="243"/>
        <v>0</v>
      </c>
      <c r="N761" s="273">
        <f t="shared" si="243"/>
        <v>0</v>
      </c>
      <c r="O761" s="273">
        <f t="shared" si="243"/>
        <v>0</v>
      </c>
      <c r="P761" s="273">
        <f t="shared" si="243"/>
        <v>0</v>
      </c>
      <c r="Q761" s="273">
        <f>SUM(E761:P761)</f>
        <v>0</v>
      </c>
    </row>
    <row r="762" spans="1:17" s="222" customFormat="1" x14ac:dyDescent="0.2">
      <c r="A762" s="259"/>
      <c r="C762" s="286"/>
      <c r="D762" s="782"/>
      <c r="E762" s="427">
        <f t="shared" ref="E762:P762" si="244">SUM(E759:E761)</f>
        <v>0</v>
      </c>
      <c r="F762" s="427">
        <f t="shared" si="244"/>
        <v>0</v>
      </c>
      <c r="G762" s="427">
        <f t="shared" si="244"/>
        <v>0</v>
      </c>
      <c r="H762" s="427">
        <f t="shared" si="244"/>
        <v>0</v>
      </c>
      <c r="I762" s="427">
        <f t="shared" si="244"/>
        <v>0</v>
      </c>
      <c r="J762" s="427">
        <f t="shared" si="244"/>
        <v>0</v>
      </c>
      <c r="K762" s="427">
        <f t="shared" si="244"/>
        <v>0</v>
      </c>
      <c r="L762" s="427">
        <f t="shared" si="244"/>
        <v>0</v>
      </c>
      <c r="M762" s="427">
        <f t="shared" si="244"/>
        <v>0</v>
      </c>
      <c r="N762" s="427">
        <f t="shared" si="244"/>
        <v>0</v>
      </c>
      <c r="O762" s="427">
        <f t="shared" si="244"/>
        <v>0</v>
      </c>
      <c r="P762" s="427">
        <f t="shared" si="244"/>
        <v>0</v>
      </c>
      <c r="Q762" s="427">
        <f>SUM(E762:P762)</f>
        <v>0</v>
      </c>
    </row>
    <row r="763" spans="1:17" s="222" customFormat="1" x14ac:dyDescent="0.2">
      <c r="A763" s="259"/>
      <c r="C763" s="286"/>
      <c r="D763" s="782"/>
      <c r="E763" s="288"/>
      <c r="F763" s="288"/>
      <c r="G763" s="288"/>
      <c r="H763" s="288"/>
      <c r="I763" s="288"/>
      <c r="J763" s="288"/>
      <c r="K763" s="288"/>
      <c r="L763" s="288"/>
      <c r="M763" s="288"/>
      <c r="N763" s="288"/>
      <c r="O763" s="288"/>
      <c r="P763" s="288"/>
      <c r="Q763" s="288"/>
    </row>
    <row r="764" spans="1:17" s="222" customFormat="1" x14ac:dyDescent="0.2">
      <c r="A764" s="259">
        <f>A761+1</f>
        <v>14</v>
      </c>
      <c r="C764" s="222" t="s">
        <v>204</v>
      </c>
      <c r="D764" s="286"/>
      <c r="E764" s="427">
        <f t="shared" ref="E764:P764" si="245">E750+E751+E762</f>
        <v>0</v>
      </c>
      <c r="F764" s="427">
        <f t="shared" si="245"/>
        <v>0</v>
      </c>
      <c r="G764" s="427">
        <f t="shared" si="245"/>
        <v>0</v>
      </c>
      <c r="H764" s="427">
        <f t="shared" si="245"/>
        <v>0</v>
      </c>
      <c r="I764" s="427">
        <f t="shared" si="245"/>
        <v>0</v>
      </c>
      <c r="J764" s="427">
        <f t="shared" si="245"/>
        <v>0</v>
      </c>
      <c r="K764" s="427">
        <f t="shared" si="245"/>
        <v>0</v>
      </c>
      <c r="L764" s="427">
        <f t="shared" si="245"/>
        <v>0</v>
      </c>
      <c r="M764" s="427">
        <f t="shared" si="245"/>
        <v>0</v>
      </c>
      <c r="N764" s="427">
        <f t="shared" si="245"/>
        <v>0</v>
      </c>
      <c r="O764" s="427">
        <f t="shared" si="245"/>
        <v>0</v>
      </c>
      <c r="P764" s="427">
        <f t="shared" si="245"/>
        <v>0</v>
      </c>
      <c r="Q764" s="427">
        <f>SUM(E764:P764)</f>
        <v>0</v>
      </c>
    </row>
    <row r="765" spans="1:17" s="222" customFormat="1" x14ac:dyDescent="0.2">
      <c r="A765" s="259"/>
      <c r="D765" s="286"/>
      <c r="F765" s="288"/>
      <c r="G765" s="469"/>
      <c r="H765" s="288"/>
      <c r="I765" s="293"/>
      <c r="J765" s="288"/>
      <c r="K765" s="288"/>
      <c r="L765" s="288"/>
      <c r="M765" s="288"/>
      <c r="N765" s="288"/>
      <c r="O765" s="288"/>
      <c r="P765" s="288"/>
    </row>
    <row r="766" spans="1:17" s="222" customFormat="1" x14ac:dyDescent="0.2">
      <c r="A766" s="259">
        <f>A764+1</f>
        <v>15</v>
      </c>
      <c r="C766" s="222" t="s">
        <v>208</v>
      </c>
      <c r="D766" s="782">
        <f>EGC</f>
        <v>2.2090999999999998</v>
      </c>
      <c r="E766" s="427">
        <f t="shared" ref="E766:P766" si="246">ROUND(E754*$D$766,2)</f>
        <v>0</v>
      </c>
      <c r="F766" s="427">
        <f t="shared" si="246"/>
        <v>0</v>
      </c>
      <c r="G766" s="427">
        <f t="shared" si="246"/>
        <v>0</v>
      </c>
      <c r="H766" s="427">
        <f t="shared" si="246"/>
        <v>0</v>
      </c>
      <c r="I766" s="427">
        <f t="shared" si="246"/>
        <v>0</v>
      </c>
      <c r="J766" s="427">
        <f t="shared" si="246"/>
        <v>0</v>
      </c>
      <c r="K766" s="427">
        <f t="shared" si="246"/>
        <v>0</v>
      </c>
      <c r="L766" s="427">
        <f t="shared" si="246"/>
        <v>0</v>
      </c>
      <c r="M766" s="427">
        <f t="shared" si="246"/>
        <v>0</v>
      </c>
      <c r="N766" s="427">
        <f t="shared" si="246"/>
        <v>0</v>
      </c>
      <c r="O766" s="427">
        <f t="shared" si="246"/>
        <v>0</v>
      </c>
      <c r="P766" s="427">
        <f t="shared" si="246"/>
        <v>0</v>
      </c>
      <c r="Q766" s="427">
        <f>SUM(E766:P766)</f>
        <v>0</v>
      </c>
    </row>
    <row r="767" spans="1:17" s="222" customFormat="1" x14ac:dyDescent="0.2">
      <c r="A767" s="259"/>
      <c r="D767" s="286"/>
      <c r="F767" s="288"/>
      <c r="G767" s="469"/>
      <c r="H767" s="288"/>
      <c r="I767" s="293"/>
      <c r="J767" s="288"/>
      <c r="K767" s="288"/>
      <c r="L767" s="288"/>
      <c r="M767" s="288"/>
      <c r="N767" s="288"/>
      <c r="O767" s="288"/>
      <c r="P767" s="288"/>
    </row>
    <row r="768" spans="1:17" s="222" customFormat="1" x14ac:dyDescent="0.2">
      <c r="A768" s="713">
        <f>A766+1</f>
        <v>16</v>
      </c>
      <c r="B768" s="446"/>
      <c r="C768" s="461" t="s">
        <v>206</v>
      </c>
      <c r="D768" s="461"/>
      <c r="E768" s="450">
        <f t="shared" ref="E768:P768" si="247">E764+E766</f>
        <v>0</v>
      </c>
      <c r="F768" s="450">
        <f t="shared" si="247"/>
        <v>0</v>
      </c>
      <c r="G768" s="450">
        <f t="shared" si="247"/>
        <v>0</v>
      </c>
      <c r="H768" s="450">
        <f t="shared" si="247"/>
        <v>0</v>
      </c>
      <c r="I768" s="450">
        <f t="shared" si="247"/>
        <v>0</v>
      </c>
      <c r="J768" s="450">
        <f t="shared" si="247"/>
        <v>0</v>
      </c>
      <c r="K768" s="450">
        <f t="shared" si="247"/>
        <v>0</v>
      </c>
      <c r="L768" s="450">
        <f t="shared" si="247"/>
        <v>0</v>
      </c>
      <c r="M768" s="450">
        <f t="shared" si="247"/>
        <v>0</v>
      </c>
      <c r="N768" s="450">
        <f t="shared" si="247"/>
        <v>0</v>
      </c>
      <c r="O768" s="450">
        <f t="shared" si="247"/>
        <v>0</v>
      </c>
      <c r="P768" s="450">
        <f t="shared" si="247"/>
        <v>0</v>
      </c>
      <c r="Q768" s="450">
        <f>SUM(E768:P768)</f>
        <v>0</v>
      </c>
    </row>
    <row r="769" spans="1:17" s="222" customFormat="1" x14ac:dyDescent="0.2">
      <c r="A769" s="259"/>
      <c r="D769" s="286"/>
      <c r="F769" s="288"/>
      <c r="G769" s="469"/>
      <c r="H769" s="288"/>
      <c r="I769" s="293"/>
      <c r="J769" s="288"/>
      <c r="K769" s="288"/>
      <c r="L769" s="288"/>
      <c r="M769" s="288"/>
      <c r="N769" s="288"/>
      <c r="O769" s="288"/>
      <c r="P769" s="288"/>
    </row>
    <row r="770" spans="1:17" s="222" customFormat="1" x14ac:dyDescent="0.2">
      <c r="A770" s="259">
        <f>A768+1</f>
        <v>17</v>
      </c>
      <c r="C770" s="286" t="s">
        <v>196</v>
      </c>
      <c r="D770" s="286"/>
      <c r="E770" s="482"/>
      <c r="F770" s="482"/>
      <c r="G770" s="482"/>
      <c r="H770" s="482"/>
      <c r="I770" s="482"/>
      <c r="J770" s="482"/>
      <c r="K770" s="482"/>
      <c r="L770" s="482"/>
      <c r="M770" s="482"/>
      <c r="N770" s="482"/>
      <c r="O770" s="482"/>
      <c r="P770" s="482"/>
      <c r="Q770" s="482"/>
    </row>
    <row r="771" spans="1:17" s="222" customFormat="1" x14ac:dyDescent="0.2">
      <c r="A771" s="259">
        <f>A770+1</f>
        <v>18</v>
      </c>
      <c r="C771" s="286" t="s">
        <v>214</v>
      </c>
      <c r="D771" s="782">
        <f>Input!AA36</f>
        <v>2.5999999999999999E-2</v>
      </c>
      <c r="E771" s="427">
        <f t="shared" ref="E771:P771" si="248">ROUND(E757*$D$771,2)</f>
        <v>0</v>
      </c>
      <c r="F771" s="427">
        <f t="shared" si="248"/>
        <v>0</v>
      </c>
      <c r="G771" s="427">
        <f t="shared" si="248"/>
        <v>0</v>
      </c>
      <c r="H771" s="427">
        <f t="shared" si="248"/>
        <v>0</v>
      </c>
      <c r="I771" s="427">
        <f t="shared" si="248"/>
        <v>0</v>
      </c>
      <c r="J771" s="427">
        <f t="shared" si="248"/>
        <v>0</v>
      </c>
      <c r="K771" s="427">
        <f t="shared" si="248"/>
        <v>0</v>
      </c>
      <c r="L771" s="427">
        <f t="shared" si="248"/>
        <v>0</v>
      </c>
      <c r="M771" s="427">
        <f t="shared" si="248"/>
        <v>0</v>
      </c>
      <c r="N771" s="427">
        <f t="shared" si="248"/>
        <v>0</v>
      </c>
      <c r="O771" s="427">
        <f t="shared" si="248"/>
        <v>0</v>
      </c>
      <c r="P771" s="427">
        <f t="shared" si="248"/>
        <v>0</v>
      </c>
      <c r="Q771" s="427">
        <f>SUM(E771:P771)</f>
        <v>0</v>
      </c>
    </row>
    <row r="772" spans="1:17" s="222" customFormat="1" x14ac:dyDescent="0.2">
      <c r="A772" s="259"/>
      <c r="D772" s="286"/>
      <c r="F772" s="288"/>
      <c r="G772" s="469"/>
      <c r="H772" s="288"/>
      <c r="I772" s="293"/>
      <c r="J772" s="288"/>
      <c r="K772" s="288"/>
      <c r="L772" s="288"/>
      <c r="M772" s="288"/>
      <c r="N772" s="288"/>
      <c r="O772" s="288"/>
      <c r="P772" s="288"/>
      <c r="Q772" s="469"/>
    </row>
    <row r="773" spans="1:17" s="222" customFormat="1" ht="10.8" thickBot="1" x14ac:dyDescent="0.25">
      <c r="A773" s="717">
        <f>A771+1</f>
        <v>19</v>
      </c>
      <c r="B773" s="489"/>
      <c r="C773" s="718" t="s">
        <v>205</v>
      </c>
      <c r="D773" s="719"/>
      <c r="E773" s="492">
        <f>E768+E771</f>
        <v>0</v>
      </c>
      <c r="F773" s="492">
        <f t="shared" ref="F773:P773" si="249">F768+F771</f>
        <v>0</v>
      </c>
      <c r="G773" s="492">
        <f t="shared" si="249"/>
        <v>0</v>
      </c>
      <c r="H773" s="492">
        <f t="shared" si="249"/>
        <v>0</v>
      </c>
      <c r="I773" s="492">
        <f t="shared" si="249"/>
        <v>0</v>
      </c>
      <c r="J773" s="492">
        <f t="shared" si="249"/>
        <v>0</v>
      </c>
      <c r="K773" s="492">
        <f t="shared" si="249"/>
        <v>0</v>
      </c>
      <c r="L773" s="492">
        <f t="shared" si="249"/>
        <v>0</v>
      </c>
      <c r="M773" s="492">
        <f t="shared" si="249"/>
        <v>0</v>
      </c>
      <c r="N773" s="492">
        <f t="shared" si="249"/>
        <v>0</v>
      </c>
      <c r="O773" s="492">
        <f t="shared" si="249"/>
        <v>0</v>
      </c>
      <c r="P773" s="492">
        <f t="shared" si="249"/>
        <v>0</v>
      </c>
      <c r="Q773" s="492">
        <f>SUM(E773:P773)</f>
        <v>0</v>
      </c>
    </row>
    <row r="774" spans="1:17" s="222" customFormat="1" ht="10.8" thickTop="1" x14ac:dyDescent="0.2">
      <c r="A774" s="259"/>
      <c r="D774" s="286"/>
      <c r="F774" s="288"/>
      <c r="G774" s="469"/>
      <c r="H774" s="288"/>
      <c r="I774" s="293"/>
      <c r="J774" s="288"/>
      <c r="K774" s="288"/>
      <c r="L774" s="288"/>
      <c r="M774" s="288"/>
      <c r="N774" s="288"/>
      <c r="O774" s="288"/>
      <c r="P774" s="288"/>
      <c r="Q774" s="288"/>
    </row>
    <row r="775" spans="1:17" s="222" customFormat="1" x14ac:dyDescent="0.2">
      <c r="A775" s="259"/>
      <c r="D775" s="286"/>
      <c r="F775" s="288"/>
      <c r="G775" s="469"/>
      <c r="H775" s="288"/>
      <c r="I775" s="293"/>
      <c r="J775" s="288"/>
      <c r="K775" s="288"/>
      <c r="L775" s="288"/>
      <c r="M775" s="288"/>
      <c r="N775" s="288"/>
      <c r="O775" s="288"/>
      <c r="P775" s="288"/>
      <c r="Q775" s="288"/>
    </row>
    <row r="776" spans="1:17" s="222" customFormat="1" x14ac:dyDescent="0.2">
      <c r="A776" s="259">
        <f>A773+1</f>
        <v>20</v>
      </c>
      <c r="B776" s="222" t="str">
        <f>B195</f>
        <v>IUS</v>
      </c>
      <c r="C776" s="222" t="str">
        <f>C195</f>
        <v>Intrastate Utility Service - Wholesale</v>
      </c>
      <c r="D776" s="286"/>
      <c r="F776" s="288"/>
      <c r="G776" s="469"/>
      <c r="H776" s="288"/>
      <c r="I776" s="293"/>
      <c r="J776" s="288"/>
      <c r="K776" s="288"/>
      <c r="L776" s="288"/>
      <c r="M776" s="288"/>
      <c r="N776" s="288"/>
      <c r="O776" s="288"/>
      <c r="P776" s="288"/>
    </row>
    <row r="777" spans="1:17" s="222" customFormat="1" x14ac:dyDescent="0.2">
      <c r="A777" s="259"/>
      <c r="D777" s="286"/>
      <c r="F777" s="288"/>
      <c r="G777" s="469"/>
      <c r="H777" s="288"/>
      <c r="I777" s="293"/>
      <c r="J777" s="288"/>
      <c r="K777" s="288"/>
      <c r="L777" s="288"/>
      <c r="M777" s="288"/>
      <c r="N777" s="288"/>
      <c r="O777" s="288"/>
      <c r="P777" s="288"/>
    </row>
    <row r="778" spans="1:17" s="222" customFormat="1" x14ac:dyDescent="0.2">
      <c r="A778" s="259">
        <f>A776+1</f>
        <v>21</v>
      </c>
      <c r="C778" s="262" t="s">
        <v>115</v>
      </c>
      <c r="D778" s="286"/>
      <c r="F778" s="288"/>
      <c r="G778" s="469"/>
      <c r="H778" s="288"/>
      <c r="I778" s="293"/>
      <c r="J778" s="288"/>
      <c r="K778" s="288"/>
      <c r="L778" s="288"/>
      <c r="M778" s="288"/>
      <c r="N778" s="288"/>
      <c r="O778" s="288"/>
      <c r="P778" s="288"/>
    </row>
    <row r="779" spans="1:17" s="222" customFormat="1" x14ac:dyDescent="0.2">
      <c r="A779" s="259"/>
      <c r="D779" s="286"/>
      <c r="F779" s="288"/>
      <c r="G779" s="469"/>
      <c r="H779" s="288"/>
      <c r="I779" s="293"/>
      <c r="J779" s="288"/>
      <c r="K779" s="288"/>
      <c r="L779" s="288"/>
      <c r="M779" s="288"/>
      <c r="N779" s="288"/>
      <c r="O779" s="288"/>
      <c r="P779" s="288"/>
    </row>
    <row r="780" spans="1:17" s="222" customFormat="1" x14ac:dyDescent="0.2">
      <c r="A780" s="259">
        <f>A778+1</f>
        <v>22</v>
      </c>
      <c r="C780" s="222" t="s">
        <v>202</v>
      </c>
      <c r="D780" s="286"/>
      <c r="E780" s="472">
        <f>B!D99</f>
        <v>2</v>
      </c>
      <c r="F780" s="472">
        <f>B!E99</f>
        <v>2</v>
      </c>
      <c r="G780" s="472">
        <f>B!F99</f>
        <v>2</v>
      </c>
      <c r="H780" s="472">
        <f>B!G99</f>
        <v>2</v>
      </c>
      <c r="I780" s="472">
        <f>B!H99</f>
        <v>2</v>
      </c>
      <c r="J780" s="472">
        <f>B!I99</f>
        <v>2</v>
      </c>
      <c r="K780" s="472">
        <f>B!J99</f>
        <v>2</v>
      </c>
      <c r="L780" s="472">
        <f>B!K99</f>
        <v>2</v>
      </c>
      <c r="M780" s="472">
        <f>B!L99</f>
        <v>2</v>
      </c>
      <c r="N780" s="472">
        <f>B!M99</f>
        <v>2</v>
      </c>
      <c r="O780" s="472">
        <f>B!N99</f>
        <v>2</v>
      </c>
      <c r="P780" s="472">
        <f>B!O99</f>
        <v>2</v>
      </c>
      <c r="Q780" s="472">
        <f>SUM(E780:P780)</f>
        <v>24</v>
      </c>
    </row>
    <row r="781" spans="1:17" s="222" customFormat="1" x14ac:dyDescent="0.2">
      <c r="A781" s="259">
        <f>A780+1</f>
        <v>23</v>
      </c>
      <c r="C781" s="222" t="s">
        <v>210</v>
      </c>
      <c r="D781" s="781">
        <f>Input!U37</f>
        <v>567.4</v>
      </c>
      <c r="E781" s="427">
        <f t="shared" ref="E781:P781" si="250">ROUND(E780*$D$781,2)</f>
        <v>1134.8</v>
      </c>
      <c r="F781" s="427">
        <f t="shared" si="250"/>
        <v>1134.8</v>
      </c>
      <c r="G781" s="427">
        <f t="shared" si="250"/>
        <v>1134.8</v>
      </c>
      <c r="H781" s="427">
        <f t="shared" si="250"/>
        <v>1134.8</v>
      </c>
      <c r="I781" s="427">
        <f t="shared" si="250"/>
        <v>1134.8</v>
      </c>
      <c r="J781" s="427">
        <f t="shared" si="250"/>
        <v>1134.8</v>
      </c>
      <c r="K781" s="427">
        <f t="shared" si="250"/>
        <v>1134.8</v>
      </c>
      <c r="L781" s="427">
        <f t="shared" si="250"/>
        <v>1134.8</v>
      </c>
      <c r="M781" s="427">
        <f t="shared" si="250"/>
        <v>1134.8</v>
      </c>
      <c r="N781" s="427">
        <f t="shared" si="250"/>
        <v>1134.8</v>
      </c>
      <c r="O781" s="427">
        <f t="shared" si="250"/>
        <v>1134.8</v>
      </c>
      <c r="P781" s="427">
        <f t="shared" si="250"/>
        <v>1134.8</v>
      </c>
      <c r="Q781" s="427">
        <f>SUM(E781:P781)</f>
        <v>13617.599999999997</v>
      </c>
    </row>
    <row r="782" spans="1:17" s="222" customFormat="1" x14ac:dyDescent="0.2">
      <c r="A782" s="259">
        <f>A781+1</f>
        <v>24</v>
      </c>
      <c r="C782" s="222" t="s">
        <v>211</v>
      </c>
      <c r="D782" s="781">
        <f>Input!W37</f>
        <v>0</v>
      </c>
      <c r="E782" s="427">
        <f t="shared" ref="E782:P782" si="251">ROUND(E780*$D$782,2)</f>
        <v>0</v>
      </c>
      <c r="F782" s="427">
        <f t="shared" si="251"/>
        <v>0</v>
      </c>
      <c r="G782" s="427">
        <f t="shared" si="251"/>
        <v>0</v>
      </c>
      <c r="H782" s="427">
        <f t="shared" si="251"/>
        <v>0</v>
      </c>
      <c r="I782" s="427">
        <f t="shared" si="251"/>
        <v>0</v>
      </c>
      <c r="J782" s="427">
        <f t="shared" si="251"/>
        <v>0</v>
      </c>
      <c r="K782" s="427">
        <f t="shared" si="251"/>
        <v>0</v>
      </c>
      <c r="L782" s="427">
        <f t="shared" si="251"/>
        <v>0</v>
      </c>
      <c r="M782" s="427">
        <f t="shared" si="251"/>
        <v>0</v>
      </c>
      <c r="N782" s="427">
        <f t="shared" si="251"/>
        <v>0</v>
      </c>
      <c r="O782" s="427">
        <f t="shared" si="251"/>
        <v>0</v>
      </c>
      <c r="P782" s="427">
        <f t="shared" si="251"/>
        <v>0</v>
      </c>
      <c r="Q782" s="427">
        <f>SUM(E782:P782)</f>
        <v>0</v>
      </c>
    </row>
    <row r="783" spans="1:17" s="222" customFormat="1" x14ac:dyDescent="0.2">
      <c r="A783" s="259"/>
      <c r="D783" s="512"/>
      <c r="E783" s="514"/>
      <c r="F783" s="288"/>
      <c r="G783" s="469"/>
      <c r="H783" s="288"/>
      <c r="I783" s="293"/>
      <c r="J783" s="288"/>
      <c r="K783" s="288"/>
      <c r="L783" s="288"/>
      <c r="M783" s="288"/>
      <c r="N783" s="288"/>
      <c r="O783" s="288"/>
      <c r="P783" s="288"/>
    </row>
    <row r="784" spans="1:17" s="222" customFormat="1" x14ac:dyDescent="0.2">
      <c r="A784" s="259">
        <f>A782+1</f>
        <v>25</v>
      </c>
      <c r="C784" s="286" t="s">
        <v>209</v>
      </c>
      <c r="D784" s="512"/>
      <c r="E784" s="524">
        <f>'C'!D141</f>
        <v>3136.7</v>
      </c>
      <c r="F784" s="524">
        <f>'C'!E141</f>
        <v>2307.1999999999998</v>
      </c>
      <c r="G784" s="524">
        <f>'C'!F141</f>
        <v>1098.5999999999999</v>
      </c>
      <c r="H784" s="524">
        <f>'C'!G141</f>
        <v>641.70000000000005</v>
      </c>
      <c r="I784" s="524">
        <f>'C'!H141</f>
        <v>362.9</v>
      </c>
      <c r="J784" s="524">
        <f>'C'!I141</f>
        <v>221.4</v>
      </c>
      <c r="K784" s="524">
        <f>'C'!J141</f>
        <v>245</v>
      </c>
      <c r="L784" s="524">
        <f>'C'!K141</f>
        <v>196.3</v>
      </c>
      <c r="M784" s="524">
        <f>'C'!L141</f>
        <v>196.6</v>
      </c>
      <c r="N784" s="524">
        <f>'C'!M141</f>
        <v>705.2</v>
      </c>
      <c r="O784" s="524">
        <f>'C'!N141</f>
        <v>1014.3</v>
      </c>
      <c r="P784" s="524">
        <f>'C'!O141</f>
        <v>1194.8</v>
      </c>
      <c r="Q784" s="524">
        <f>SUM(E784:P784)</f>
        <v>11320.699999999999</v>
      </c>
    </row>
    <row r="785" spans="1:17" s="222" customFormat="1" x14ac:dyDescent="0.2">
      <c r="A785" s="259">
        <f>A784+1</f>
        <v>26</v>
      </c>
      <c r="C785" s="302" t="s">
        <v>212</v>
      </c>
      <c r="D785" s="782">
        <f>Input!P37</f>
        <v>1.1635</v>
      </c>
      <c r="E785" s="427">
        <f t="shared" ref="E785:P785" si="252">ROUND(E784*$D$785,2)</f>
        <v>3649.55</v>
      </c>
      <c r="F785" s="427">
        <f t="shared" si="252"/>
        <v>2684.43</v>
      </c>
      <c r="G785" s="427">
        <f t="shared" si="252"/>
        <v>1278.22</v>
      </c>
      <c r="H785" s="427">
        <f t="shared" si="252"/>
        <v>746.62</v>
      </c>
      <c r="I785" s="427">
        <f t="shared" si="252"/>
        <v>422.23</v>
      </c>
      <c r="J785" s="427">
        <f t="shared" si="252"/>
        <v>257.60000000000002</v>
      </c>
      <c r="K785" s="427">
        <f t="shared" si="252"/>
        <v>285.06</v>
      </c>
      <c r="L785" s="427">
        <f t="shared" si="252"/>
        <v>228.4</v>
      </c>
      <c r="M785" s="427">
        <f t="shared" si="252"/>
        <v>228.74</v>
      </c>
      <c r="N785" s="427">
        <f t="shared" si="252"/>
        <v>820.5</v>
      </c>
      <c r="O785" s="427">
        <f t="shared" si="252"/>
        <v>1180.1400000000001</v>
      </c>
      <c r="P785" s="427">
        <f t="shared" si="252"/>
        <v>1390.15</v>
      </c>
      <c r="Q785" s="427">
        <f>SUM(E785:P785)</f>
        <v>13171.639999999998</v>
      </c>
    </row>
    <row r="786" spans="1:17" s="222" customFormat="1" x14ac:dyDescent="0.2">
      <c r="A786" s="259">
        <f>A785+1</f>
        <v>27</v>
      </c>
      <c r="C786" s="302"/>
      <c r="D786" s="512"/>
      <c r="E786" s="734"/>
      <c r="F786" s="734"/>
      <c r="G786" s="734"/>
      <c r="H786" s="734"/>
      <c r="I786" s="734"/>
      <c r="J786" s="734"/>
      <c r="K786" s="734"/>
      <c r="L786" s="734"/>
      <c r="M786" s="734"/>
      <c r="N786" s="734"/>
      <c r="O786" s="734"/>
      <c r="P786" s="734"/>
      <c r="Q786" s="735"/>
    </row>
    <row r="787" spans="1:17" s="222" customFormat="1" x14ac:dyDescent="0.2">
      <c r="A787" s="259">
        <f>A786+1</f>
        <v>28</v>
      </c>
      <c r="C787" s="222" t="s">
        <v>204</v>
      </c>
      <c r="D787" s="512"/>
      <c r="E787" s="427">
        <f t="shared" ref="E787:P787" si="253">E781+E782+E785</f>
        <v>4784.3500000000004</v>
      </c>
      <c r="F787" s="427">
        <f t="shared" si="253"/>
        <v>3819.2299999999996</v>
      </c>
      <c r="G787" s="427">
        <f t="shared" si="253"/>
        <v>2413.02</v>
      </c>
      <c r="H787" s="427">
        <f t="shared" si="253"/>
        <v>1881.42</v>
      </c>
      <c r="I787" s="427">
        <f t="shared" si="253"/>
        <v>1557.03</v>
      </c>
      <c r="J787" s="427">
        <f t="shared" si="253"/>
        <v>1392.4</v>
      </c>
      <c r="K787" s="427">
        <f t="shared" si="253"/>
        <v>1419.86</v>
      </c>
      <c r="L787" s="427">
        <f t="shared" si="253"/>
        <v>1363.2</v>
      </c>
      <c r="M787" s="427">
        <f t="shared" si="253"/>
        <v>1363.54</v>
      </c>
      <c r="N787" s="427">
        <f t="shared" si="253"/>
        <v>1955.3</v>
      </c>
      <c r="O787" s="427">
        <f t="shared" si="253"/>
        <v>2314.94</v>
      </c>
      <c r="P787" s="427">
        <f t="shared" si="253"/>
        <v>2524.9499999999998</v>
      </c>
      <c r="Q787" s="427">
        <f>SUM(E787:P787)</f>
        <v>26789.24</v>
      </c>
    </row>
    <row r="788" spans="1:17" s="222" customFormat="1" x14ac:dyDescent="0.2">
      <c r="A788" s="259"/>
      <c r="C788" s="286"/>
      <c r="D788" s="286"/>
      <c r="E788" s="482"/>
      <c r="F788" s="482"/>
      <c r="G788" s="482"/>
      <c r="H788" s="482"/>
      <c r="I788" s="482"/>
      <c r="J788" s="482"/>
      <c r="K788" s="482"/>
      <c r="L788" s="482"/>
      <c r="M788" s="482"/>
      <c r="N788" s="482"/>
      <c r="O788" s="482"/>
      <c r="P788" s="482"/>
      <c r="Q788" s="482"/>
    </row>
    <row r="789" spans="1:17" s="222" customFormat="1" x14ac:dyDescent="0.2">
      <c r="A789" s="259">
        <f>A787+1</f>
        <v>29</v>
      </c>
      <c r="C789" s="286" t="s">
        <v>208</v>
      </c>
      <c r="D789" s="782">
        <f>EGC</f>
        <v>2.2090999999999998</v>
      </c>
      <c r="E789" s="427">
        <f t="shared" ref="E789:P789" si="254">ROUND(E784*$D$789,2)</f>
        <v>6929.28</v>
      </c>
      <c r="F789" s="427">
        <f t="shared" si="254"/>
        <v>5096.84</v>
      </c>
      <c r="G789" s="427">
        <f t="shared" si="254"/>
        <v>2426.92</v>
      </c>
      <c r="H789" s="427">
        <f t="shared" si="254"/>
        <v>1417.58</v>
      </c>
      <c r="I789" s="427">
        <f t="shared" si="254"/>
        <v>801.68</v>
      </c>
      <c r="J789" s="427">
        <f t="shared" si="254"/>
        <v>489.09</v>
      </c>
      <c r="K789" s="427">
        <f t="shared" si="254"/>
        <v>541.23</v>
      </c>
      <c r="L789" s="427">
        <f t="shared" si="254"/>
        <v>433.65</v>
      </c>
      <c r="M789" s="427">
        <f t="shared" si="254"/>
        <v>434.31</v>
      </c>
      <c r="N789" s="427">
        <f t="shared" si="254"/>
        <v>1557.86</v>
      </c>
      <c r="O789" s="427">
        <f t="shared" si="254"/>
        <v>2240.69</v>
      </c>
      <c r="P789" s="427">
        <f t="shared" si="254"/>
        <v>2639.43</v>
      </c>
      <c r="Q789" s="427">
        <f>SUM(E789:P789)</f>
        <v>25008.560000000001</v>
      </c>
    </row>
    <row r="790" spans="1:17" s="222" customFormat="1" x14ac:dyDescent="0.2">
      <c r="A790" s="259"/>
      <c r="C790" s="273"/>
      <c r="D790" s="286"/>
      <c r="E790" s="736"/>
      <c r="F790" s="736"/>
      <c r="G790" s="736"/>
      <c r="H790" s="736"/>
      <c r="I790" s="736"/>
      <c r="J790" s="736"/>
      <c r="K790" s="736"/>
      <c r="L790" s="736"/>
      <c r="M790" s="736"/>
      <c r="N790" s="736"/>
      <c r="O790" s="736"/>
      <c r="P790" s="736"/>
      <c r="Q790" s="736"/>
    </row>
    <row r="791" spans="1:17" s="222" customFormat="1" x14ac:dyDescent="0.2">
      <c r="A791" s="713">
        <f>A789+1</f>
        <v>30</v>
      </c>
      <c r="B791" s="446"/>
      <c r="C791" s="461" t="s">
        <v>206</v>
      </c>
      <c r="D791" s="461"/>
      <c r="E791" s="450">
        <f t="shared" ref="E791:P791" si="255">E787+E789</f>
        <v>11713.630000000001</v>
      </c>
      <c r="F791" s="450">
        <f t="shared" si="255"/>
        <v>8916.07</v>
      </c>
      <c r="G791" s="450">
        <f t="shared" si="255"/>
        <v>4839.9400000000005</v>
      </c>
      <c r="H791" s="450">
        <f t="shared" si="255"/>
        <v>3299</v>
      </c>
      <c r="I791" s="450">
        <f t="shared" si="255"/>
        <v>2358.71</v>
      </c>
      <c r="J791" s="450">
        <f t="shared" si="255"/>
        <v>1881.49</v>
      </c>
      <c r="K791" s="450">
        <f t="shared" si="255"/>
        <v>1961.09</v>
      </c>
      <c r="L791" s="450">
        <f t="shared" si="255"/>
        <v>1796.85</v>
      </c>
      <c r="M791" s="450">
        <f t="shared" si="255"/>
        <v>1797.85</v>
      </c>
      <c r="N791" s="450">
        <f t="shared" si="255"/>
        <v>3513.16</v>
      </c>
      <c r="O791" s="450">
        <f t="shared" si="255"/>
        <v>4555.63</v>
      </c>
      <c r="P791" s="450">
        <f t="shared" si="255"/>
        <v>5164.3799999999992</v>
      </c>
      <c r="Q791" s="450">
        <f>SUM(E791:P791)</f>
        <v>51797.799999999988</v>
      </c>
    </row>
    <row r="792" spans="1:17" s="222" customFormat="1" x14ac:dyDescent="0.2">
      <c r="A792" s="259"/>
      <c r="C792" s="286"/>
      <c r="D792" s="286"/>
      <c r="E792" s="482"/>
      <c r="F792" s="482"/>
      <c r="G792" s="482"/>
      <c r="H792" s="482"/>
      <c r="I792" s="482"/>
      <c r="J792" s="482"/>
      <c r="K792" s="482"/>
      <c r="L792" s="482"/>
      <c r="M792" s="482"/>
      <c r="N792" s="482"/>
      <c r="O792" s="482"/>
      <c r="P792" s="482"/>
      <c r="Q792" s="482"/>
    </row>
    <row r="793" spans="1:17" s="222" customFormat="1" x14ac:dyDescent="0.2">
      <c r="A793" s="259">
        <f>A791+1</f>
        <v>31</v>
      </c>
      <c r="C793" s="286" t="s">
        <v>196</v>
      </c>
      <c r="D793" s="286"/>
      <c r="E793" s="482"/>
      <c r="F793" s="482"/>
      <c r="G793" s="482"/>
      <c r="H793" s="482"/>
      <c r="I793" s="482"/>
      <c r="J793" s="482"/>
      <c r="K793" s="482"/>
      <c r="L793" s="482"/>
      <c r="M793" s="482"/>
      <c r="N793" s="482"/>
      <c r="O793" s="482"/>
      <c r="P793" s="482"/>
      <c r="Q793" s="482"/>
    </row>
    <row r="794" spans="1:17" s="222" customFormat="1" x14ac:dyDescent="0.2">
      <c r="A794" s="259">
        <f>A793+1</f>
        <v>32</v>
      </c>
      <c r="C794" s="286" t="s">
        <v>214</v>
      </c>
      <c r="D794" s="782">
        <f>Input!AA37</f>
        <v>2.5999999999999999E-2</v>
      </c>
      <c r="E794" s="427">
        <f t="shared" ref="E794:P794" si="256">ROUND(E784*$D$794,2)</f>
        <v>81.55</v>
      </c>
      <c r="F794" s="427">
        <f t="shared" si="256"/>
        <v>59.99</v>
      </c>
      <c r="G794" s="427">
        <f t="shared" si="256"/>
        <v>28.56</v>
      </c>
      <c r="H794" s="427">
        <f t="shared" si="256"/>
        <v>16.68</v>
      </c>
      <c r="I794" s="427">
        <f t="shared" si="256"/>
        <v>9.44</v>
      </c>
      <c r="J794" s="427">
        <f t="shared" si="256"/>
        <v>5.76</v>
      </c>
      <c r="K794" s="427">
        <f t="shared" si="256"/>
        <v>6.37</v>
      </c>
      <c r="L794" s="427">
        <f t="shared" si="256"/>
        <v>5.0999999999999996</v>
      </c>
      <c r="M794" s="427">
        <f t="shared" si="256"/>
        <v>5.1100000000000003</v>
      </c>
      <c r="N794" s="427">
        <f t="shared" si="256"/>
        <v>18.34</v>
      </c>
      <c r="O794" s="427">
        <f t="shared" si="256"/>
        <v>26.37</v>
      </c>
      <c r="P794" s="427">
        <f t="shared" si="256"/>
        <v>31.06</v>
      </c>
      <c r="Q794" s="427">
        <f>SUM(E794:P794)</f>
        <v>294.33</v>
      </c>
    </row>
    <row r="795" spans="1:17" s="222" customFormat="1" x14ac:dyDescent="0.2">
      <c r="A795" s="259"/>
      <c r="D795" s="286"/>
      <c r="F795" s="288"/>
      <c r="G795" s="469"/>
      <c r="H795" s="288"/>
      <c r="I795" s="293"/>
      <c r="J795" s="288"/>
      <c r="K795" s="288"/>
      <c r="L795" s="288"/>
      <c r="M795" s="288"/>
      <c r="N795" s="288"/>
      <c r="O795" s="288"/>
      <c r="P795" s="288"/>
    </row>
    <row r="796" spans="1:17" s="222" customFormat="1" ht="10.8" thickBot="1" x14ac:dyDescent="0.25">
      <c r="A796" s="717">
        <f>A794+1</f>
        <v>33</v>
      </c>
      <c r="B796" s="489"/>
      <c r="C796" s="718" t="s">
        <v>205</v>
      </c>
      <c r="D796" s="719"/>
      <c r="E796" s="492">
        <f>E791+E794</f>
        <v>11795.18</v>
      </c>
      <c r="F796" s="492">
        <f t="shared" ref="F796:P796" si="257">F791+F794</f>
        <v>8976.06</v>
      </c>
      <c r="G796" s="492">
        <f t="shared" si="257"/>
        <v>4868.5000000000009</v>
      </c>
      <c r="H796" s="492">
        <f t="shared" si="257"/>
        <v>3315.68</v>
      </c>
      <c r="I796" s="492">
        <f t="shared" si="257"/>
        <v>2368.15</v>
      </c>
      <c r="J796" s="492">
        <f t="shared" si="257"/>
        <v>1887.25</v>
      </c>
      <c r="K796" s="492">
        <f t="shared" si="257"/>
        <v>1967.4599999999998</v>
      </c>
      <c r="L796" s="492">
        <f t="shared" si="257"/>
        <v>1801.9499999999998</v>
      </c>
      <c r="M796" s="492">
        <f t="shared" si="257"/>
        <v>1802.9599999999998</v>
      </c>
      <c r="N796" s="492">
        <f t="shared" si="257"/>
        <v>3531.5</v>
      </c>
      <c r="O796" s="492">
        <f t="shared" si="257"/>
        <v>4582</v>
      </c>
      <c r="P796" s="492">
        <f t="shared" si="257"/>
        <v>5195.4399999999996</v>
      </c>
      <c r="Q796" s="492">
        <f>SUM(E796:P796)</f>
        <v>52092.13</v>
      </c>
    </row>
    <row r="797" spans="1:17" s="222" customFormat="1" ht="10.8" thickTop="1" x14ac:dyDescent="0.2">
      <c r="A797" s="259"/>
      <c r="D797" s="286"/>
      <c r="F797" s="288"/>
      <c r="G797" s="469"/>
      <c r="H797" s="288"/>
      <c r="I797" s="293"/>
      <c r="J797" s="288"/>
      <c r="K797" s="288"/>
      <c r="L797" s="288"/>
      <c r="M797" s="288"/>
      <c r="N797" s="288"/>
      <c r="O797" s="288"/>
      <c r="P797" s="288"/>
      <c r="Q797" s="288"/>
    </row>
    <row r="798" spans="1:17" s="222" customFormat="1" x14ac:dyDescent="0.2">
      <c r="A798" s="259"/>
      <c r="D798" s="286"/>
      <c r="F798" s="288"/>
      <c r="G798" s="469"/>
      <c r="H798" s="288"/>
      <c r="I798" s="293"/>
      <c r="J798" s="288"/>
      <c r="K798" s="288"/>
      <c r="L798" s="288"/>
      <c r="M798" s="288"/>
      <c r="N798" s="288"/>
      <c r="O798" s="288"/>
      <c r="P798" s="288"/>
      <c r="Q798" s="288"/>
    </row>
    <row r="799" spans="1:17" s="222" customFormat="1" x14ac:dyDescent="0.2">
      <c r="A799" s="622" t="str">
        <f>$A$265</f>
        <v>[1] Reflects Normalized Volumes.</v>
      </c>
      <c r="D799" s="286"/>
      <c r="F799" s="288"/>
      <c r="G799" s="469"/>
      <c r="H799" s="288"/>
      <c r="I799" s="293"/>
      <c r="J799" s="288"/>
      <c r="K799" s="288"/>
      <c r="L799" s="288"/>
      <c r="M799" s="288"/>
      <c r="N799" s="288"/>
      <c r="O799" s="288"/>
      <c r="P799" s="288"/>
    </row>
    <row r="800" spans="1:17" s="222" customFormat="1" x14ac:dyDescent="0.2">
      <c r="A800" s="622" t="str">
        <f>"[2] Reflects Gas Cost Adjustment Rate"&amp;CONCATENATE(" as of ",EGCDATE)&amp;"."</f>
        <v>[2] Reflects Gas Cost Adjustment Rate as of March 1, 2016.</v>
      </c>
      <c r="D800" s="286"/>
      <c r="F800" s="288"/>
      <c r="G800" s="469"/>
      <c r="H800" s="288"/>
      <c r="I800" s="293"/>
      <c r="J800" s="288"/>
      <c r="K800" s="288"/>
      <c r="L800" s="288"/>
      <c r="M800" s="288"/>
      <c r="N800" s="288"/>
      <c r="O800" s="288"/>
      <c r="P800" s="288"/>
    </row>
    <row r="801" spans="1:17" s="222" customFormat="1" x14ac:dyDescent="0.2">
      <c r="A801" s="995" t="str">
        <f>CONAME</f>
        <v>Columbia Gas of Kentucky, Inc.</v>
      </c>
      <c r="B801" s="995"/>
      <c r="C801" s="995"/>
      <c r="D801" s="995"/>
      <c r="E801" s="995"/>
      <c r="F801" s="995"/>
      <c r="G801" s="995"/>
      <c r="H801" s="995"/>
      <c r="I801" s="995"/>
      <c r="J801" s="995"/>
      <c r="K801" s="995"/>
      <c r="L801" s="995"/>
      <c r="M801" s="995"/>
      <c r="N801" s="995"/>
      <c r="O801" s="995"/>
      <c r="P801" s="995"/>
      <c r="Q801" s="995"/>
    </row>
    <row r="802" spans="1:17" s="222" customFormat="1" x14ac:dyDescent="0.2">
      <c r="A802" s="978" t="str">
        <f>case</f>
        <v>Case No. 2016-00162</v>
      </c>
      <c r="B802" s="978"/>
      <c r="C802" s="978"/>
      <c r="D802" s="978"/>
      <c r="E802" s="978"/>
      <c r="F802" s="978"/>
      <c r="G802" s="978"/>
      <c r="H802" s="978"/>
      <c r="I802" s="978"/>
      <c r="J802" s="978"/>
      <c r="K802" s="978"/>
      <c r="L802" s="978"/>
      <c r="M802" s="978"/>
      <c r="N802" s="978"/>
      <c r="O802" s="978"/>
      <c r="P802" s="978"/>
      <c r="Q802" s="978"/>
    </row>
    <row r="803" spans="1:17" s="222" customFormat="1" x14ac:dyDescent="0.2">
      <c r="A803" s="996" t="s">
        <v>200</v>
      </c>
      <c r="B803" s="996"/>
      <c r="C803" s="996"/>
      <c r="D803" s="996"/>
      <c r="E803" s="996"/>
      <c r="F803" s="996"/>
      <c r="G803" s="996"/>
      <c r="H803" s="996"/>
      <c r="I803" s="996"/>
      <c r="J803" s="996"/>
      <c r="K803" s="996"/>
      <c r="L803" s="996"/>
      <c r="M803" s="996"/>
      <c r="N803" s="996"/>
      <c r="O803" s="996"/>
      <c r="P803" s="996"/>
      <c r="Q803" s="996"/>
    </row>
    <row r="804" spans="1:17" s="222" customFormat="1" x14ac:dyDescent="0.2">
      <c r="A804" s="995" t="str">
        <f>TYDESC</f>
        <v>For the 12 Months Ended December 31, 2017</v>
      </c>
      <c r="B804" s="995"/>
      <c r="C804" s="995"/>
      <c r="D804" s="995"/>
      <c r="E804" s="995"/>
      <c r="F804" s="995"/>
      <c r="G804" s="995"/>
      <c r="H804" s="995"/>
      <c r="I804" s="995"/>
      <c r="J804" s="995"/>
      <c r="K804" s="995"/>
      <c r="L804" s="995"/>
      <c r="M804" s="995"/>
      <c r="N804" s="995"/>
      <c r="O804" s="995"/>
      <c r="P804" s="995"/>
      <c r="Q804" s="995"/>
    </row>
    <row r="805" spans="1:17" s="222" customFormat="1" x14ac:dyDescent="0.2">
      <c r="A805" s="997" t="s">
        <v>39</v>
      </c>
      <c r="B805" s="997"/>
      <c r="C805" s="997"/>
      <c r="D805" s="997"/>
      <c r="E805" s="997"/>
      <c r="F805" s="997"/>
      <c r="G805" s="997"/>
      <c r="H805" s="997"/>
      <c r="I805" s="997"/>
      <c r="J805" s="997"/>
      <c r="K805" s="997"/>
      <c r="L805" s="997"/>
      <c r="M805" s="997"/>
      <c r="N805" s="997"/>
      <c r="O805" s="997"/>
      <c r="P805" s="997"/>
      <c r="Q805" s="997"/>
    </row>
    <row r="806" spans="1:17" s="222" customFormat="1" x14ac:dyDescent="0.2">
      <c r="A806" s="711" t="str">
        <f>$A$52</f>
        <v>Data: __ Base Period _X_ Forecasted Period</v>
      </c>
      <c r="D806" s="286"/>
      <c r="F806" s="288"/>
      <c r="G806" s="469"/>
      <c r="H806" s="288"/>
      <c r="I806" s="293"/>
      <c r="J806" s="288"/>
      <c r="K806" s="288"/>
      <c r="L806" s="288"/>
      <c r="M806" s="288"/>
      <c r="N806" s="288"/>
      <c r="O806" s="288"/>
      <c r="P806" s="288"/>
    </row>
    <row r="807" spans="1:17" s="222" customFormat="1" x14ac:dyDescent="0.2">
      <c r="A807" s="711" t="str">
        <f>$A$53</f>
        <v>Type of Filing: X Original _ Update _ Revised</v>
      </c>
      <c r="D807" s="286"/>
      <c r="F807" s="288"/>
      <c r="G807" s="469"/>
      <c r="H807" s="288"/>
      <c r="I807" s="293"/>
      <c r="J807" s="288"/>
      <c r="K807" s="288"/>
      <c r="L807" s="288"/>
      <c r="M807" s="288"/>
      <c r="N807" s="288"/>
      <c r="O807" s="288"/>
      <c r="P807" s="288"/>
      <c r="Q807" s="720" t="str">
        <f>$Q$53</f>
        <v>Schedule M-2.3</v>
      </c>
    </row>
    <row r="808" spans="1:17" s="222" customFormat="1" x14ac:dyDescent="0.2">
      <c r="A808" s="711" t="str">
        <f>$A$54</f>
        <v>Work Paper Reference No(s):</v>
      </c>
      <c r="D808" s="286"/>
      <c r="F808" s="288"/>
      <c r="G808" s="469"/>
      <c r="H808" s="288"/>
      <c r="I808" s="293"/>
      <c r="J808" s="288"/>
      <c r="K808" s="288"/>
      <c r="L808" s="288"/>
      <c r="M808" s="288"/>
      <c r="N808" s="288"/>
      <c r="O808" s="288"/>
      <c r="P808" s="288"/>
      <c r="Q808" s="720" t="s">
        <v>511</v>
      </c>
    </row>
    <row r="809" spans="1:17" s="222" customFormat="1" x14ac:dyDescent="0.2">
      <c r="A809" s="712" t="str">
        <f>$A$55</f>
        <v>12 Months Forecasted</v>
      </c>
      <c r="D809" s="286"/>
      <c r="F809" s="288"/>
      <c r="G809" s="469"/>
      <c r="H809" s="288"/>
      <c r="I809" s="293"/>
      <c r="J809" s="288"/>
      <c r="K809" s="288"/>
      <c r="L809" s="288"/>
      <c r="M809" s="288"/>
      <c r="N809" s="288"/>
      <c r="O809" s="288"/>
      <c r="P809" s="288"/>
      <c r="Q809" s="720" t="str">
        <f>Witness</f>
        <v>Witness:  M. J. Bell</v>
      </c>
    </row>
    <row r="810" spans="1:17" s="222" customFormat="1" x14ac:dyDescent="0.2">
      <c r="A810" s="998" t="s">
        <v>293</v>
      </c>
      <c r="B810" s="998"/>
      <c r="C810" s="998"/>
      <c r="D810" s="998"/>
      <c r="E810" s="998"/>
      <c r="F810" s="998"/>
      <c r="G810" s="998"/>
      <c r="H810" s="998"/>
      <c r="I810" s="998"/>
      <c r="J810" s="998"/>
      <c r="K810" s="998"/>
      <c r="L810" s="998"/>
      <c r="M810" s="998"/>
      <c r="N810" s="998"/>
      <c r="O810" s="998"/>
      <c r="P810" s="998"/>
      <c r="Q810" s="998"/>
    </row>
    <row r="811" spans="1:17" s="222" customFormat="1" x14ac:dyDescent="0.2">
      <c r="A811" s="225"/>
      <c r="B811" s="302"/>
      <c r="C811" s="302"/>
      <c r="D811" s="304"/>
      <c r="E811" s="302"/>
      <c r="F811" s="495"/>
      <c r="G811" s="496"/>
      <c r="H811" s="495"/>
      <c r="I811" s="497"/>
      <c r="J811" s="495"/>
      <c r="K811" s="495"/>
      <c r="L811" s="495"/>
      <c r="M811" s="495"/>
      <c r="N811" s="495"/>
      <c r="O811" s="495"/>
      <c r="P811" s="495"/>
      <c r="Q811" s="302"/>
    </row>
    <row r="812" spans="1:17" s="222" customFormat="1" x14ac:dyDescent="0.2">
      <c r="A812" s="410"/>
      <c r="B812" s="410"/>
      <c r="C812" s="410"/>
      <c r="D812" s="721"/>
      <c r="E812" s="410"/>
      <c r="F812" s="722"/>
      <c r="G812" s="723"/>
      <c r="H812" s="722"/>
      <c r="I812" s="724"/>
      <c r="J812" s="722"/>
      <c r="K812" s="722"/>
      <c r="L812" s="722"/>
      <c r="M812" s="722"/>
      <c r="N812" s="722"/>
      <c r="O812" s="722"/>
      <c r="P812" s="722"/>
      <c r="Q812" s="410"/>
    </row>
    <row r="813" spans="1:17" s="222" customFormat="1" x14ac:dyDescent="0.2">
      <c r="A813" s="410"/>
      <c r="B813" s="410"/>
      <c r="C813" s="410"/>
      <c r="D813" s="416"/>
      <c r="E813" s="410"/>
      <c r="F813" s="722"/>
      <c r="G813" s="725"/>
      <c r="H813" s="722"/>
      <c r="I813" s="726"/>
      <c r="J813" s="722"/>
      <c r="K813" s="722"/>
      <c r="L813" s="722"/>
      <c r="M813" s="722"/>
      <c r="N813" s="722"/>
      <c r="O813" s="722"/>
      <c r="P813" s="722"/>
      <c r="Q813" s="410"/>
    </row>
    <row r="814" spans="1:17" s="222" customFormat="1" x14ac:dyDescent="0.2">
      <c r="A814" s="410" t="s">
        <v>1</v>
      </c>
      <c r="B814" s="410" t="s">
        <v>0</v>
      </c>
      <c r="C814" s="410" t="s">
        <v>41</v>
      </c>
      <c r="D814" s="416" t="s">
        <v>30</v>
      </c>
      <c r="E814" s="410"/>
      <c r="F814" s="722"/>
      <c r="G814" s="725"/>
      <c r="H814" s="722"/>
      <c r="I814" s="726"/>
      <c r="J814" s="722"/>
      <c r="K814" s="722"/>
      <c r="L814" s="722"/>
      <c r="M814" s="722"/>
      <c r="N814" s="722"/>
      <c r="O814" s="722"/>
      <c r="P814" s="722"/>
      <c r="Q814" s="230"/>
    </row>
    <row r="815" spans="1:17" s="222" customFormat="1" x14ac:dyDescent="0.2">
      <c r="A815" s="281" t="s">
        <v>3</v>
      </c>
      <c r="B815" s="281" t="s">
        <v>40</v>
      </c>
      <c r="C815" s="281" t="s">
        <v>4</v>
      </c>
      <c r="D815" s="420" t="s">
        <v>48</v>
      </c>
      <c r="E815" s="421" t="str">
        <f>B!$D$11</f>
        <v>Jan-17</v>
      </c>
      <c r="F815" s="421" t="str">
        <f>B!$E$11</f>
        <v>Feb-17</v>
      </c>
      <c r="G815" s="421" t="str">
        <f>B!$F$11</f>
        <v>Mar-17</v>
      </c>
      <c r="H815" s="421" t="str">
        <f>B!$G$11</f>
        <v>Apr-17</v>
      </c>
      <c r="I815" s="421" t="str">
        <f>B!$H$11</f>
        <v>May-17</v>
      </c>
      <c r="J815" s="421" t="str">
        <f>B!$I$11</f>
        <v>Jun-17</v>
      </c>
      <c r="K815" s="421" t="str">
        <f>B!$J$11</f>
        <v>Jul-17</v>
      </c>
      <c r="L815" s="421" t="str">
        <f>B!$K$11</f>
        <v>Aug-17</v>
      </c>
      <c r="M815" s="421" t="str">
        <f>B!$L$11</f>
        <v>Sep-17</v>
      </c>
      <c r="N815" s="421" t="str">
        <f>B!$M$11</f>
        <v>Oct-17</v>
      </c>
      <c r="O815" s="421" t="str">
        <f>B!$N$11</f>
        <v>Nov-17</v>
      </c>
      <c r="P815" s="421" t="str">
        <f>B!$O$11</f>
        <v>Dec-17</v>
      </c>
      <c r="Q815" s="421" t="s">
        <v>9</v>
      </c>
    </row>
    <row r="816" spans="1:17" s="222" customFormat="1" x14ac:dyDescent="0.2">
      <c r="A816" s="410"/>
      <c r="B816" s="229" t="s">
        <v>42</v>
      </c>
      <c r="C816" s="229" t="s">
        <v>43</v>
      </c>
      <c r="D816" s="423" t="s">
        <v>45</v>
      </c>
      <c r="E816" s="424" t="s">
        <v>46</v>
      </c>
      <c r="F816" s="424" t="s">
        <v>49</v>
      </c>
      <c r="G816" s="424" t="s">
        <v>50</v>
      </c>
      <c r="H816" s="424" t="s">
        <v>51</v>
      </c>
      <c r="I816" s="424" t="s">
        <v>52</v>
      </c>
      <c r="J816" s="425" t="s">
        <v>53</v>
      </c>
      <c r="K816" s="425" t="s">
        <v>54</v>
      </c>
      <c r="L816" s="425" t="s">
        <v>55</v>
      </c>
      <c r="M816" s="425" t="s">
        <v>56</v>
      </c>
      <c r="N816" s="425" t="s">
        <v>57</v>
      </c>
      <c r="O816" s="425" t="s">
        <v>58</v>
      </c>
      <c r="P816" s="425" t="s">
        <v>59</v>
      </c>
      <c r="Q816" s="425" t="s">
        <v>203</v>
      </c>
    </row>
    <row r="817" spans="1:17" s="222" customFormat="1" x14ac:dyDescent="0.2">
      <c r="A817" s="259"/>
      <c r="D817" s="286"/>
      <c r="E817" s="230"/>
      <c r="F817" s="727"/>
      <c r="G817" s="723"/>
      <c r="H817" s="727"/>
      <c r="I817" s="724"/>
      <c r="J817" s="727"/>
      <c r="K817" s="727"/>
      <c r="L817" s="727"/>
      <c r="M817" s="727"/>
      <c r="N817" s="727"/>
      <c r="O817" s="727"/>
      <c r="P817" s="727"/>
      <c r="Q817" s="230"/>
    </row>
    <row r="818" spans="1:17" s="222" customFormat="1" x14ac:dyDescent="0.2">
      <c r="A818" s="259">
        <v>1</v>
      </c>
      <c r="B818" s="222" t="str">
        <f>B222</f>
        <v>GTR</v>
      </c>
      <c r="C818" s="222" t="str">
        <f>C222</f>
        <v xml:space="preserve">GTS Choice - Residential </v>
      </c>
      <c r="D818" s="286"/>
      <c r="F818" s="288"/>
      <c r="G818" s="469"/>
      <c r="H818" s="288"/>
      <c r="I818" s="293"/>
      <c r="J818" s="288"/>
      <c r="K818" s="288"/>
      <c r="L818" s="288"/>
      <c r="M818" s="288"/>
      <c r="N818" s="288"/>
      <c r="O818" s="288"/>
      <c r="P818" s="288"/>
    </row>
    <row r="819" spans="1:17" s="222" customFormat="1" x14ac:dyDescent="0.2">
      <c r="A819" s="259"/>
      <c r="D819" s="286"/>
      <c r="F819" s="288"/>
      <c r="G819" s="469"/>
      <c r="H819" s="288"/>
      <c r="I819" s="293"/>
      <c r="J819" s="288"/>
      <c r="K819" s="288"/>
      <c r="L819" s="288"/>
      <c r="M819" s="288"/>
      <c r="N819" s="288"/>
      <c r="O819" s="288"/>
      <c r="P819" s="288"/>
    </row>
    <row r="820" spans="1:17" s="222" customFormat="1" x14ac:dyDescent="0.2">
      <c r="A820" s="259">
        <f>A818+1</f>
        <v>2</v>
      </c>
      <c r="C820" s="262" t="s">
        <v>109</v>
      </c>
      <c r="D820" s="286"/>
      <c r="F820" s="288"/>
      <c r="G820" s="469"/>
      <c r="H820" s="288"/>
      <c r="I820" s="293"/>
      <c r="J820" s="288"/>
      <c r="K820" s="288"/>
      <c r="L820" s="288"/>
      <c r="M820" s="288"/>
      <c r="N820" s="288"/>
      <c r="O820" s="288"/>
      <c r="P820" s="288"/>
    </row>
    <row r="821" spans="1:17" s="222" customFormat="1" x14ac:dyDescent="0.2">
      <c r="A821" s="259"/>
      <c r="C821" s="262"/>
      <c r="D821" s="286"/>
      <c r="F821" s="288"/>
      <c r="G821" s="469"/>
      <c r="H821" s="288"/>
      <c r="I821" s="293"/>
      <c r="J821" s="288"/>
      <c r="K821" s="288"/>
      <c r="L821" s="288"/>
      <c r="M821" s="288"/>
      <c r="N821" s="288"/>
      <c r="O821" s="288"/>
      <c r="P821" s="288"/>
    </row>
    <row r="822" spans="1:17" s="222" customFormat="1" x14ac:dyDescent="0.2">
      <c r="A822" s="259">
        <f>A820+1</f>
        <v>3</v>
      </c>
      <c r="C822" s="222" t="s">
        <v>202</v>
      </c>
      <c r="D822" s="286"/>
      <c r="E822" s="472">
        <f>B!D164</f>
        <v>23720</v>
      </c>
      <c r="F822" s="472">
        <f>B!E164</f>
        <v>23785</v>
      </c>
      <c r="G822" s="472">
        <f>B!F164</f>
        <v>23786</v>
      </c>
      <c r="H822" s="472">
        <f>B!G164</f>
        <v>23694</v>
      </c>
      <c r="I822" s="472">
        <f>B!H164</f>
        <v>23612</v>
      </c>
      <c r="J822" s="472">
        <f>B!I164</f>
        <v>23386</v>
      </c>
      <c r="K822" s="472">
        <f>B!J164</f>
        <v>23238</v>
      </c>
      <c r="L822" s="472">
        <f>B!K164</f>
        <v>23223</v>
      </c>
      <c r="M822" s="472">
        <f>B!L164</f>
        <v>23179</v>
      </c>
      <c r="N822" s="472">
        <f>B!M164</f>
        <v>23188</v>
      </c>
      <c r="O822" s="472">
        <f>B!N164</f>
        <v>23458</v>
      </c>
      <c r="P822" s="472">
        <f>B!O164</f>
        <v>23677</v>
      </c>
      <c r="Q822" s="472">
        <f>SUM(E822:P822)</f>
        <v>281946</v>
      </c>
    </row>
    <row r="823" spans="1:17" s="222" customFormat="1" x14ac:dyDescent="0.2">
      <c r="A823" s="259">
        <f>A822+1</f>
        <v>4</v>
      </c>
      <c r="C823" s="222" t="s">
        <v>210</v>
      </c>
      <c r="D823" s="781">
        <f>Input!U41</f>
        <v>16</v>
      </c>
      <c r="E823" s="427">
        <f t="shared" ref="E823:P823" si="258">ROUND(E822*$D$823,2)</f>
        <v>379520</v>
      </c>
      <c r="F823" s="427">
        <f t="shared" si="258"/>
        <v>380560</v>
      </c>
      <c r="G823" s="427">
        <f t="shared" si="258"/>
        <v>380576</v>
      </c>
      <c r="H823" s="427">
        <f t="shared" si="258"/>
        <v>379104</v>
      </c>
      <c r="I823" s="427">
        <f t="shared" si="258"/>
        <v>377792</v>
      </c>
      <c r="J823" s="427">
        <f t="shared" si="258"/>
        <v>374176</v>
      </c>
      <c r="K823" s="427">
        <f t="shared" si="258"/>
        <v>371808</v>
      </c>
      <c r="L823" s="427">
        <f t="shared" si="258"/>
        <v>371568</v>
      </c>
      <c r="M823" s="427">
        <f t="shared" si="258"/>
        <v>370864</v>
      </c>
      <c r="N823" s="427">
        <f t="shared" si="258"/>
        <v>371008</v>
      </c>
      <c r="O823" s="427">
        <f t="shared" si="258"/>
        <v>375328</v>
      </c>
      <c r="P823" s="427">
        <f t="shared" si="258"/>
        <v>378832</v>
      </c>
      <c r="Q823" s="427">
        <f>SUM(E823:P823)</f>
        <v>4511136</v>
      </c>
    </row>
    <row r="824" spans="1:17" s="222" customFormat="1" x14ac:dyDescent="0.2">
      <c r="A824" s="259">
        <f>A823+1</f>
        <v>5</v>
      </c>
      <c r="C824" s="222" t="s">
        <v>211</v>
      </c>
      <c r="D824" s="781">
        <f>Input!W41</f>
        <v>0</v>
      </c>
      <c r="E824" s="427">
        <f t="shared" ref="E824:P824" si="259">ROUND(E822*$D$824,2)</f>
        <v>0</v>
      </c>
      <c r="F824" s="427">
        <f t="shared" si="259"/>
        <v>0</v>
      </c>
      <c r="G824" s="427">
        <f t="shared" si="259"/>
        <v>0</v>
      </c>
      <c r="H824" s="427">
        <f t="shared" si="259"/>
        <v>0</v>
      </c>
      <c r="I824" s="427">
        <f t="shared" si="259"/>
        <v>0</v>
      </c>
      <c r="J824" s="427">
        <f t="shared" si="259"/>
        <v>0</v>
      </c>
      <c r="K824" s="427">
        <f t="shared" si="259"/>
        <v>0</v>
      </c>
      <c r="L824" s="427">
        <f t="shared" si="259"/>
        <v>0</v>
      </c>
      <c r="M824" s="427">
        <f t="shared" si="259"/>
        <v>0</v>
      </c>
      <c r="N824" s="427">
        <f t="shared" si="259"/>
        <v>0</v>
      </c>
      <c r="O824" s="427">
        <f t="shared" si="259"/>
        <v>0</v>
      </c>
      <c r="P824" s="427">
        <f t="shared" si="259"/>
        <v>0</v>
      </c>
      <c r="Q824" s="427">
        <f>SUM(E824:P824)</f>
        <v>0</v>
      </c>
    </row>
    <row r="825" spans="1:17" s="222" customFormat="1" x14ac:dyDescent="0.2">
      <c r="A825" s="259"/>
      <c r="D825" s="512"/>
      <c r="E825" s="514"/>
      <c r="F825" s="288"/>
      <c r="G825" s="469"/>
      <c r="H825" s="288"/>
      <c r="I825" s="293"/>
      <c r="J825" s="288"/>
      <c r="K825" s="288"/>
      <c r="L825" s="288"/>
      <c r="M825" s="288"/>
      <c r="N825" s="288"/>
      <c r="O825" s="288"/>
      <c r="P825" s="288"/>
    </row>
    <row r="826" spans="1:17" s="222" customFormat="1" x14ac:dyDescent="0.2">
      <c r="A826" s="259">
        <f>A824+1</f>
        <v>6</v>
      </c>
      <c r="C826" s="222" t="s">
        <v>209</v>
      </c>
      <c r="D826" s="512"/>
      <c r="E826" s="476">
        <f>'C'!D187</f>
        <v>364000</v>
      </c>
      <c r="F826" s="476">
        <f>'C'!E187</f>
        <v>353000</v>
      </c>
      <c r="G826" s="476">
        <f>'C'!F187</f>
        <v>265000</v>
      </c>
      <c r="H826" s="476">
        <f>'C'!G187</f>
        <v>151000</v>
      </c>
      <c r="I826" s="476">
        <f>'C'!H187</f>
        <v>71000</v>
      </c>
      <c r="J826" s="476">
        <f>'C'!I187</f>
        <v>34000</v>
      </c>
      <c r="K826" s="476">
        <f>'C'!J187</f>
        <v>24000</v>
      </c>
      <c r="L826" s="476">
        <f>'C'!K187</f>
        <v>23000</v>
      </c>
      <c r="M826" s="476">
        <f>'C'!L187</f>
        <v>25000</v>
      </c>
      <c r="N826" s="476">
        <f>'C'!M187</f>
        <v>39000</v>
      </c>
      <c r="O826" s="476">
        <f>'C'!N187</f>
        <v>111000</v>
      </c>
      <c r="P826" s="476">
        <f>'C'!O187</f>
        <v>247000</v>
      </c>
      <c r="Q826" s="476">
        <f>SUM(E826:P826)</f>
        <v>1707000</v>
      </c>
    </row>
    <row r="827" spans="1:17" s="222" customFormat="1" x14ac:dyDescent="0.2">
      <c r="A827" s="259">
        <f>A826+1</f>
        <v>7</v>
      </c>
      <c r="C827" s="222" t="s">
        <v>212</v>
      </c>
      <c r="D827" s="782">
        <f>Input!P41</f>
        <v>3.5926999999999998</v>
      </c>
      <c r="E827" s="427">
        <f t="shared" ref="E827:P827" si="260">ROUND(E826*$D$827,2)</f>
        <v>1307742.8</v>
      </c>
      <c r="F827" s="427">
        <f t="shared" si="260"/>
        <v>1268223.1000000001</v>
      </c>
      <c r="G827" s="427">
        <f t="shared" si="260"/>
        <v>952065.5</v>
      </c>
      <c r="H827" s="427">
        <f t="shared" si="260"/>
        <v>542497.69999999995</v>
      </c>
      <c r="I827" s="427">
        <f t="shared" si="260"/>
        <v>255081.7</v>
      </c>
      <c r="J827" s="427">
        <f t="shared" si="260"/>
        <v>122151.8</v>
      </c>
      <c r="K827" s="427">
        <f t="shared" si="260"/>
        <v>86224.8</v>
      </c>
      <c r="L827" s="427">
        <f t="shared" si="260"/>
        <v>82632.100000000006</v>
      </c>
      <c r="M827" s="427">
        <f t="shared" si="260"/>
        <v>89817.5</v>
      </c>
      <c r="N827" s="427">
        <f t="shared" si="260"/>
        <v>140115.29999999999</v>
      </c>
      <c r="O827" s="427">
        <f t="shared" si="260"/>
        <v>398789.7</v>
      </c>
      <c r="P827" s="427">
        <f t="shared" si="260"/>
        <v>887396.9</v>
      </c>
      <c r="Q827" s="427">
        <f>SUM(E827:P827)</f>
        <v>6132738.9000000004</v>
      </c>
    </row>
    <row r="828" spans="1:17" s="222" customFormat="1" x14ac:dyDescent="0.2">
      <c r="A828" s="259"/>
      <c r="D828" s="512"/>
      <c r="E828" s="734"/>
      <c r="F828" s="734"/>
      <c r="G828" s="734"/>
      <c r="H828" s="734"/>
      <c r="I828" s="734"/>
      <c r="J828" s="734"/>
      <c r="K828" s="734"/>
      <c r="L828" s="734"/>
      <c r="M828" s="734"/>
      <c r="N828" s="734"/>
      <c r="O828" s="734"/>
      <c r="P828" s="734"/>
      <c r="Q828" s="735"/>
    </row>
    <row r="829" spans="1:17" s="222" customFormat="1" x14ac:dyDescent="0.2">
      <c r="A829" s="259">
        <f>A827+1</f>
        <v>8</v>
      </c>
      <c r="C829" s="222" t="s">
        <v>204</v>
      </c>
      <c r="D829" s="512"/>
      <c r="E829" s="427">
        <f t="shared" ref="E829:P829" si="261">E823+E824+E827</f>
        <v>1687262.8</v>
      </c>
      <c r="F829" s="427">
        <f t="shared" si="261"/>
        <v>1648783.1</v>
      </c>
      <c r="G829" s="427">
        <f t="shared" si="261"/>
        <v>1332641.5</v>
      </c>
      <c r="H829" s="427">
        <f t="shared" si="261"/>
        <v>921601.7</v>
      </c>
      <c r="I829" s="427">
        <f t="shared" si="261"/>
        <v>632873.69999999995</v>
      </c>
      <c r="J829" s="427">
        <f t="shared" si="261"/>
        <v>496327.8</v>
      </c>
      <c r="K829" s="427">
        <f t="shared" si="261"/>
        <v>458032.8</v>
      </c>
      <c r="L829" s="427">
        <f t="shared" si="261"/>
        <v>454200.1</v>
      </c>
      <c r="M829" s="427">
        <f t="shared" si="261"/>
        <v>460681.5</v>
      </c>
      <c r="N829" s="427">
        <f t="shared" si="261"/>
        <v>511123.3</v>
      </c>
      <c r="O829" s="427">
        <f t="shared" si="261"/>
        <v>774117.7</v>
      </c>
      <c r="P829" s="427">
        <f t="shared" si="261"/>
        <v>1266228.8999999999</v>
      </c>
      <c r="Q829" s="427">
        <f>SUM(E829:P829)</f>
        <v>10643874.9</v>
      </c>
    </row>
    <row r="830" spans="1:17" s="222" customFormat="1" x14ac:dyDescent="0.2">
      <c r="A830" s="259"/>
      <c r="D830" s="512"/>
      <c r="E830" s="737"/>
      <c r="F830" s="737"/>
      <c r="G830" s="737"/>
      <c r="H830" s="737"/>
      <c r="I830" s="737"/>
      <c r="J830" s="737"/>
      <c r="K830" s="737"/>
      <c r="L830" s="737"/>
      <c r="M830" s="737"/>
      <c r="N830" s="737"/>
      <c r="O830" s="737"/>
      <c r="P830" s="737"/>
      <c r="Q830" s="738"/>
    </row>
    <row r="831" spans="1:17" s="222" customFormat="1" x14ac:dyDescent="0.2">
      <c r="A831" s="259">
        <f>A829+1</f>
        <v>9</v>
      </c>
      <c r="C831" s="222" t="s">
        <v>151</v>
      </c>
      <c r="D831" s="783">
        <v>0</v>
      </c>
      <c r="E831" s="510">
        <v>0</v>
      </c>
      <c r="F831" s="510">
        <v>0</v>
      </c>
      <c r="G831" s="510">
        <v>0</v>
      </c>
      <c r="H831" s="510">
        <v>0</v>
      </c>
      <c r="I831" s="510">
        <v>0</v>
      </c>
      <c r="J831" s="510">
        <v>0</v>
      </c>
      <c r="K831" s="510">
        <v>0</v>
      </c>
      <c r="L831" s="510">
        <v>0</v>
      </c>
      <c r="M831" s="510">
        <v>0</v>
      </c>
      <c r="N831" s="510">
        <v>0</v>
      </c>
      <c r="O831" s="510">
        <v>0</v>
      </c>
      <c r="P831" s="510">
        <v>0</v>
      </c>
      <c r="Q831" s="427">
        <f>SUM(E831:P831)</f>
        <v>0</v>
      </c>
    </row>
    <row r="832" spans="1:17" s="222" customFormat="1" x14ac:dyDescent="0.2">
      <c r="A832" s="259"/>
      <c r="D832" s="512"/>
      <c r="E832" s="736"/>
      <c r="F832" s="736"/>
      <c r="G832" s="736"/>
      <c r="H832" s="736"/>
      <c r="I832" s="736"/>
      <c r="J832" s="736"/>
      <c r="K832" s="736"/>
      <c r="L832" s="736"/>
      <c r="M832" s="736"/>
      <c r="N832" s="736"/>
      <c r="O832" s="736"/>
      <c r="P832" s="736"/>
      <c r="Q832" s="736"/>
    </row>
    <row r="833" spans="1:17" s="222" customFormat="1" x14ac:dyDescent="0.2">
      <c r="A833" s="713">
        <f>A831+1</f>
        <v>10</v>
      </c>
      <c r="B833" s="446"/>
      <c r="C833" s="461" t="s">
        <v>206</v>
      </c>
      <c r="D833" s="461"/>
      <c r="E833" s="450">
        <f t="shared" ref="E833:N833" si="262">E829+E831</f>
        <v>1687262.8</v>
      </c>
      <c r="F833" s="450">
        <f t="shared" si="262"/>
        <v>1648783.1</v>
      </c>
      <c r="G833" s="450">
        <f t="shared" si="262"/>
        <v>1332641.5</v>
      </c>
      <c r="H833" s="450">
        <f t="shared" si="262"/>
        <v>921601.7</v>
      </c>
      <c r="I833" s="450">
        <f t="shared" si="262"/>
        <v>632873.69999999995</v>
      </c>
      <c r="J833" s="450">
        <f t="shared" si="262"/>
        <v>496327.8</v>
      </c>
      <c r="K833" s="450">
        <f t="shared" si="262"/>
        <v>458032.8</v>
      </c>
      <c r="L833" s="450">
        <f t="shared" si="262"/>
        <v>454200.1</v>
      </c>
      <c r="M833" s="450">
        <f t="shared" si="262"/>
        <v>460681.5</v>
      </c>
      <c r="N833" s="450">
        <f t="shared" si="262"/>
        <v>511123.3</v>
      </c>
      <c r="O833" s="450">
        <f>O829+O831</f>
        <v>774117.7</v>
      </c>
      <c r="P833" s="450">
        <f>P829+P831</f>
        <v>1266228.8999999999</v>
      </c>
      <c r="Q833" s="450">
        <f>SUM(E833:P833)</f>
        <v>10643874.9</v>
      </c>
    </row>
    <row r="834" spans="1:17" s="222" customFormat="1" x14ac:dyDescent="0.2">
      <c r="A834" s="259"/>
      <c r="D834" s="512"/>
      <c r="E834" s="482"/>
      <c r="F834" s="482"/>
      <c r="G834" s="482"/>
      <c r="H834" s="482"/>
      <c r="I834" s="482"/>
      <c r="J834" s="482"/>
      <c r="K834" s="482"/>
      <c r="L834" s="482"/>
      <c r="M834" s="482"/>
      <c r="N834" s="482"/>
      <c r="O834" s="482"/>
      <c r="P834" s="482"/>
      <c r="Q834" s="482"/>
    </row>
    <row r="835" spans="1:17" s="222" customFormat="1" x14ac:dyDescent="0.2">
      <c r="A835" s="259">
        <f>A833+1</f>
        <v>11</v>
      </c>
      <c r="C835" s="222" t="s">
        <v>196</v>
      </c>
      <c r="D835" s="512"/>
      <c r="E835" s="482"/>
      <c r="F835" s="482"/>
      <c r="G835" s="482"/>
      <c r="H835" s="482"/>
      <c r="I835" s="482"/>
      <c r="J835" s="482"/>
      <c r="K835" s="482"/>
      <c r="L835" s="482"/>
      <c r="M835" s="482"/>
      <c r="N835" s="482"/>
      <c r="O835" s="482"/>
      <c r="P835" s="482"/>
      <c r="Q835" s="482"/>
    </row>
    <row r="836" spans="1:17" s="222" customFormat="1" x14ac:dyDescent="0.2">
      <c r="A836" s="259">
        <f>A835+1</f>
        <v>12</v>
      </c>
      <c r="C836" s="222" t="s">
        <v>213</v>
      </c>
      <c r="D836" s="782">
        <f>Input!X41</f>
        <v>0.69</v>
      </c>
      <c r="E836" s="427">
        <f t="shared" ref="E836:P836" si="263">ROUND(E822*$D$836,2)</f>
        <v>16366.8</v>
      </c>
      <c r="F836" s="427">
        <f t="shared" si="263"/>
        <v>16411.650000000001</v>
      </c>
      <c r="G836" s="427">
        <f t="shared" si="263"/>
        <v>16412.34</v>
      </c>
      <c r="H836" s="427">
        <f t="shared" si="263"/>
        <v>16348.86</v>
      </c>
      <c r="I836" s="427">
        <f t="shared" si="263"/>
        <v>16292.28</v>
      </c>
      <c r="J836" s="427">
        <f t="shared" si="263"/>
        <v>16136.34</v>
      </c>
      <c r="K836" s="427">
        <f t="shared" si="263"/>
        <v>16034.22</v>
      </c>
      <c r="L836" s="427">
        <f t="shared" si="263"/>
        <v>16023.87</v>
      </c>
      <c r="M836" s="427">
        <f t="shared" si="263"/>
        <v>15993.51</v>
      </c>
      <c r="N836" s="427">
        <f t="shared" si="263"/>
        <v>15999.72</v>
      </c>
      <c r="O836" s="427">
        <f t="shared" si="263"/>
        <v>16186.02</v>
      </c>
      <c r="P836" s="427">
        <f t="shared" si="263"/>
        <v>16337.13</v>
      </c>
      <c r="Q836" s="427">
        <f>SUM(E836:P836)</f>
        <v>194542.74</v>
      </c>
    </row>
    <row r="837" spans="1:17" s="222" customFormat="1" x14ac:dyDescent="0.2">
      <c r="A837" s="259">
        <f>A836+1</f>
        <v>13</v>
      </c>
      <c r="C837" s="222" t="s">
        <v>215</v>
      </c>
      <c r="D837" s="782">
        <f>Input!Y41</f>
        <v>5.9700000000000003E-2</v>
      </c>
      <c r="E837" s="273">
        <f t="shared" ref="E837:P837" si="264">ROUND(E826*$D$837,2)</f>
        <v>21730.799999999999</v>
      </c>
      <c r="F837" s="273">
        <f t="shared" si="264"/>
        <v>21074.1</v>
      </c>
      <c r="G837" s="273">
        <f t="shared" si="264"/>
        <v>15820.5</v>
      </c>
      <c r="H837" s="273">
        <f t="shared" si="264"/>
        <v>9014.7000000000007</v>
      </c>
      <c r="I837" s="273">
        <f t="shared" si="264"/>
        <v>4238.7</v>
      </c>
      <c r="J837" s="273">
        <f t="shared" si="264"/>
        <v>2029.8</v>
      </c>
      <c r="K837" s="273">
        <f t="shared" si="264"/>
        <v>1432.8</v>
      </c>
      <c r="L837" s="273">
        <f t="shared" si="264"/>
        <v>1373.1</v>
      </c>
      <c r="M837" s="273">
        <f t="shared" si="264"/>
        <v>1492.5</v>
      </c>
      <c r="N837" s="273">
        <f t="shared" si="264"/>
        <v>2328.3000000000002</v>
      </c>
      <c r="O837" s="273">
        <f t="shared" si="264"/>
        <v>6626.7</v>
      </c>
      <c r="P837" s="273">
        <f t="shared" si="264"/>
        <v>14745.9</v>
      </c>
      <c r="Q837" s="273">
        <f>SUM(E837:P837)</f>
        <v>101907.9</v>
      </c>
    </row>
    <row r="838" spans="1:17" s="222" customFormat="1" x14ac:dyDescent="0.2">
      <c r="A838" s="259">
        <f>A837+1</f>
        <v>14</v>
      </c>
      <c r="C838" s="222" t="s">
        <v>216</v>
      </c>
      <c r="D838" s="286"/>
      <c r="E838" s="427">
        <f t="shared" ref="E838:P838" si="265">SUM(E836:E837)</f>
        <v>38097.599999999999</v>
      </c>
      <c r="F838" s="427">
        <f t="shared" si="265"/>
        <v>37485.75</v>
      </c>
      <c r="G838" s="427">
        <f t="shared" si="265"/>
        <v>32232.84</v>
      </c>
      <c r="H838" s="427">
        <f t="shared" si="265"/>
        <v>25363.56</v>
      </c>
      <c r="I838" s="427">
        <f t="shared" si="265"/>
        <v>20530.98</v>
      </c>
      <c r="J838" s="427">
        <f t="shared" si="265"/>
        <v>18166.14</v>
      </c>
      <c r="K838" s="427">
        <f t="shared" si="265"/>
        <v>17467.02</v>
      </c>
      <c r="L838" s="427">
        <f t="shared" si="265"/>
        <v>17396.97</v>
      </c>
      <c r="M838" s="427">
        <f t="shared" si="265"/>
        <v>17486.010000000002</v>
      </c>
      <c r="N838" s="427">
        <f t="shared" si="265"/>
        <v>18328.02</v>
      </c>
      <c r="O838" s="427">
        <f t="shared" si="265"/>
        <v>22812.720000000001</v>
      </c>
      <c r="P838" s="427">
        <f t="shared" si="265"/>
        <v>31083.03</v>
      </c>
      <c r="Q838" s="427">
        <f>SUM(E838:P838)</f>
        <v>296450.64</v>
      </c>
    </row>
    <row r="839" spans="1:17" s="222" customFormat="1" x14ac:dyDescent="0.2">
      <c r="A839" s="259"/>
      <c r="D839" s="286"/>
      <c r="F839" s="288"/>
      <c r="G839" s="469"/>
      <c r="H839" s="288"/>
      <c r="I839" s="293"/>
      <c r="J839" s="288"/>
      <c r="K839" s="288"/>
      <c r="L839" s="288"/>
      <c r="M839" s="288"/>
      <c r="N839" s="288"/>
      <c r="O839" s="288"/>
      <c r="P839" s="288"/>
    </row>
    <row r="840" spans="1:17" s="302" customFormat="1" ht="10.8" thickBot="1" x14ac:dyDescent="0.25">
      <c r="A840" s="717">
        <f>A838+1</f>
        <v>15</v>
      </c>
      <c r="B840" s="489"/>
      <c r="C840" s="718" t="s">
        <v>205</v>
      </c>
      <c r="D840" s="719"/>
      <c r="E840" s="492">
        <f t="shared" ref="E840:P840" si="266">E833+E838</f>
        <v>1725360.4000000001</v>
      </c>
      <c r="F840" s="492">
        <f t="shared" si="266"/>
        <v>1686268.85</v>
      </c>
      <c r="G840" s="492">
        <f t="shared" si="266"/>
        <v>1364874.34</v>
      </c>
      <c r="H840" s="492">
        <f t="shared" si="266"/>
        <v>946965.26</v>
      </c>
      <c r="I840" s="492">
        <f t="shared" si="266"/>
        <v>653404.67999999993</v>
      </c>
      <c r="J840" s="492">
        <f t="shared" si="266"/>
        <v>514493.94</v>
      </c>
      <c r="K840" s="492">
        <f t="shared" si="266"/>
        <v>475499.82</v>
      </c>
      <c r="L840" s="492">
        <f t="shared" si="266"/>
        <v>471597.06999999995</v>
      </c>
      <c r="M840" s="492">
        <f t="shared" si="266"/>
        <v>478167.51</v>
      </c>
      <c r="N840" s="492">
        <f t="shared" si="266"/>
        <v>529451.31999999995</v>
      </c>
      <c r="O840" s="492">
        <f t="shared" si="266"/>
        <v>796930.41999999993</v>
      </c>
      <c r="P840" s="492">
        <f t="shared" si="266"/>
        <v>1297311.93</v>
      </c>
      <c r="Q840" s="492">
        <f>SUM(E840:P840)</f>
        <v>10940325.539999999</v>
      </c>
    </row>
    <row r="841" spans="1:17" s="222" customFormat="1" ht="10.8" thickTop="1" x14ac:dyDescent="0.2">
      <c r="A841" s="259"/>
      <c r="D841" s="286"/>
      <c r="F841" s="288"/>
      <c r="G841" s="469"/>
      <c r="H841" s="288"/>
      <c r="I841" s="293"/>
      <c r="J841" s="288"/>
      <c r="K841" s="288"/>
      <c r="L841" s="288"/>
      <c r="M841" s="288"/>
      <c r="N841" s="288"/>
      <c r="O841" s="288"/>
      <c r="P841" s="288"/>
    </row>
    <row r="842" spans="1:17" s="222" customFormat="1" x14ac:dyDescent="0.2">
      <c r="A842" s="259"/>
      <c r="D842" s="286"/>
      <c r="F842" s="288"/>
      <c r="G842" s="469"/>
      <c r="H842" s="288"/>
      <c r="I842" s="293"/>
      <c r="J842" s="288"/>
      <c r="K842" s="288"/>
      <c r="L842" s="288"/>
      <c r="M842" s="288"/>
      <c r="N842" s="288"/>
      <c r="O842" s="288"/>
      <c r="P842" s="288"/>
    </row>
    <row r="843" spans="1:17" s="222" customFormat="1" x14ac:dyDescent="0.2">
      <c r="A843" s="259">
        <f>A840+1</f>
        <v>16</v>
      </c>
      <c r="B843" s="222" t="str">
        <f>B229</f>
        <v>GTO</v>
      </c>
      <c r="C843" s="222" t="str">
        <f>C229</f>
        <v>GTS Choice - Commercial</v>
      </c>
      <c r="D843" s="286"/>
      <c r="F843" s="288"/>
      <c r="G843" s="469"/>
      <c r="H843" s="288"/>
      <c r="I843" s="293"/>
      <c r="J843" s="288"/>
      <c r="K843" s="288"/>
      <c r="L843" s="288"/>
      <c r="M843" s="288"/>
      <c r="N843" s="288"/>
      <c r="O843" s="288"/>
      <c r="P843" s="288"/>
    </row>
    <row r="844" spans="1:17" s="222" customFormat="1" x14ac:dyDescent="0.2">
      <c r="A844" s="259"/>
      <c r="D844" s="286"/>
      <c r="F844" s="288"/>
      <c r="G844" s="469"/>
      <c r="H844" s="288"/>
      <c r="I844" s="293"/>
      <c r="J844" s="288"/>
      <c r="K844" s="288"/>
      <c r="L844" s="288"/>
      <c r="M844" s="288"/>
      <c r="N844" s="288"/>
      <c r="O844" s="288"/>
      <c r="P844" s="288"/>
    </row>
    <row r="845" spans="1:17" s="222" customFormat="1" x14ac:dyDescent="0.2">
      <c r="A845" s="259">
        <f>A843+1</f>
        <v>17</v>
      </c>
      <c r="C845" s="262" t="s">
        <v>111</v>
      </c>
      <c r="D845" s="286"/>
      <c r="F845" s="288"/>
      <c r="G845" s="469"/>
      <c r="H845" s="288"/>
      <c r="I845" s="293"/>
      <c r="J845" s="288"/>
      <c r="K845" s="288"/>
      <c r="L845" s="288"/>
      <c r="M845" s="288"/>
      <c r="N845" s="288"/>
      <c r="O845" s="288"/>
      <c r="P845" s="288"/>
    </row>
    <row r="846" spans="1:17" s="222" customFormat="1" x14ac:dyDescent="0.2">
      <c r="A846" s="259"/>
      <c r="C846" s="262"/>
      <c r="D846" s="286"/>
      <c r="F846" s="288"/>
      <c r="G846" s="469"/>
      <c r="H846" s="288"/>
      <c r="I846" s="293"/>
      <c r="J846" s="288"/>
      <c r="K846" s="288"/>
      <c r="L846" s="288"/>
      <c r="M846" s="288"/>
      <c r="N846" s="288"/>
      <c r="O846" s="288"/>
      <c r="P846" s="288"/>
    </row>
    <row r="847" spans="1:17" s="222" customFormat="1" x14ac:dyDescent="0.2">
      <c r="A847" s="259">
        <f>A845+1</f>
        <v>18</v>
      </c>
      <c r="C847" s="222" t="s">
        <v>202</v>
      </c>
      <c r="D847" s="286"/>
      <c r="E847" s="472">
        <f>B!D170</f>
        <v>3837</v>
      </c>
      <c r="F847" s="472">
        <f>B!E170</f>
        <v>3809</v>
      </c>
      <c r="G847" s="472">
        <f>B!F170</f>
        <v>4093</v>
      </c>
      <c r="H847" s="472">
        <f>B!G170</f>
        <v>4081</v>
      </c>
      <c r="I847" s="472">
        <f>B!H170</f>
        <v>4058</v>
      </c>
      <c r="J847" s="472">
        <f>B!I170</f>
        <v>4042</v>
      </c>
      <c r="K847" s="472">
        <f>B!J170</f>
        <v>4016</v>
      </c>
      <c r="L847" s="472">
        <f>B!K170</f>
        <v>3956</v>
      </c>
      <c r="M847" s="472">
        <f>B!L170</f>
        <v>3924</v>
      </c>
      <c r="N847" s="472">
        <f>B!M170</f>
        <v>3899</v>
      </c>
      <c r="O847" s="472">
        <f>B!N170</f>
        <v>3877</v>
      </c>
      <c r="P847" s="472">
        <f>B!O170</f>
        <v>3853</v>
      </c>
      <c r="Q847" s="472">
        <f>SUM(E847:P847)</f>
        <v>47445</v>
      </c>
    </row>
    <row r="848" spans="1:17" s="222" customFormat="1" x14ac:dyDescent="0.2">
      <c r="A848" s="259">
        <f>A847+1</f>
        <v>19</v>
      </c>
      <c r="C848" s="222" t="s">
        <v>210</v>
      </c>
      <c r="D848" s="781">
        <f>Input!U42</f>
        <v>44.69</v>
      </c>
      <c r="E848" s="427">
        <f t="shared" ref="E848:P848" si="267">ROUND(E847*$D$848,2)</f>
        <v>171475.53</v>
      </c>
      <c r="F848" s="427">
        <f t="shared" si="267"/>
        <v>170224.21</v>
      </c>
      <c r="G848" s="427">
        <f t="shared" si="267"/>
        <v>182916.17</v>
      </c>
      <c r="H848" s="427">
        <f t="shared" si="267"/>
        <v>182379.89</v>
      </c>
      <c r="I848" s="427">
        <f t="shared" si="267"/>
        <v>181352.02</v>
      </c>
      <c r="J848" s="427">
        <f t="shared" si="267"/>
        <v>180636.98</v>
      </c>
      <c r="K848" s="427">
        <f t="shared" si="267"/>
        <v>179475.04</v>
      </c>
      <c r="L848" s="427">
        <f t="shared" si="267"/>
        <v>176793.64</v>
      </c>
      <c r="M848" s="427">
        <f t="shared" si="267"/>
        <v>175363.56</v>
      </c>
      <c r="N848" s="427">
        <f t="shared" si="267"/>
        <v>174246.31</v>
      </c>
      <c r="O848" s="427">
        <f t="shared" si="267"/>
        <v>173263.13</v>
      </c>
      <c r="P848" s="427">
        <f t="shared" si="267"/>
        <v>172190.57</v>
      </c>
      <c r="Q848" s="427">
        <f>SUM(E848:P848)</f>
        <v>2120317.0499999998</v>
      </c>
    </row>
    <row r="849" spans="1:17" s="222" customFormat="1" x14ac:dyDescent="0.2">
      <c r="A849" s="259">
        <f>A848+1</f>
        <v>20</v>
      </c>
      <c r="C849" s="222" t="s">
        <v>211</v>
      </c>
      <c r="D849" s="781">
        <f>Input!W42</f>
        <v>0</v>
      </c>
      <c r="E849" s="427">
        <f t="shared" ref="E849:P849" si="268">ROUND(E847*$D$849,2)</f>
        <v>0</v>
      </c>
      <c r="F849" s="427">
        <f t="shared" si="268"/>
        <v>0</v>
      </c>
      <c r="G849" s="427">
        <f t="shared" si="268"/>
        <v>0</v>
      </c>
      <c r="H849" s="427">
        <f t="shared" si="268"/>
        <v>0</v>
      </c>
      <c r="I849" s="427">
        <f t="shared" si="268"/>
        <v>0</v>
      </c>
      <c r="J849" s="427">
        <f t="shared" si="268"/>
        <v>0</v>
      </c>
      <c r="K849" s="427">
        <f t="shared" si="268"/>
        <v>0</v>
      </c>
      <c r="L849" s="427">
        <f t="shared" si="268"/>
        <v>0</v>
      </c>
      <c r="M849" s="427">
        <f t="shared" si="268"/>
        <v>0</v>
      </c>
      <c r="N849" s="427">
        <f t="shared" si="268"/>
        <v>0</v>
      </c>
      <c r="O849" s="427">
        <f t="shared" si="268"/>
        <v>0</v>
      </c>
      <c r="P849" s="427">
        <f t="shared" si="268"/>
        <v>0</v>
      </c>
      <c r="Q849" s="427">
        <f>SUM(E849:P849)</f>
        <v>0</v>
      </c>
    </row>
    <row r="850" spans="1:17" s="222" customFormat="1" x14ac:dyDescent="0.2">
      <c r="A850" s="259"/>
      <c r="D850" s="286"/>
      <c r="F850" s="288"/>
      <c r="G850" s="469"/>
      <c r="H850" s="288"/>
      <c r="I850" s="293"/>
      <c r="J850" s="288"/>
      <c r="K850" s="288"/>
      <c r="L850" s="288"/>
      <c r="M850" s="288"/>
      <c r="N850" s="288"/>
      <c r="O850" s="288"/>
      <c r="P850" s="288"/>
    </row>
    <row r="851" spans="1:17" s="222" customFormat="1" x14ac:dyDescent="0.2">
      <c r="A851" s="259">
        <f>A849+1</f>
        <v>21</v>
      </c>
      <c r="C851" s="222" t="s">
        <v>209</v>
      </c>
      <c r="D851" s="286"/>
      <c r="E851" s="514"/>
      <c r="F851" s="288"/>
      <c r="G851" s="469"/>
      <c r="H851" s="288"/>
      <c r="I851" s="293"/>
      <c r="J851" s="288"/>
      <c r="K851" s="288"/>
      <c r="L851" s="288"/>
      <c r="M851" s="288"/>
      <c r="N851" s="288"/>
      <c r="O851" s="288"/>
      <c r="P851" s="288"/>
    </row>
    <row r="852" spans="1:17" s="222" customFormat="1" x14ac:dyDescent="0.2">
      <c r="A852" s="259">
        <f>A851+1</f>
        <v>22</v>
      </c>
      <c r="C852" s="222" t="str">
        <f>'C'!B191</f>
        <v xml:space="preserve">    First 50 Mcf</v>
      </c>
      <c r="D852" s="512"/>
      <c r="E852" s="476">
        <f>'C'!D203</f>
        <v>115248.5</v>
      </c>
      <c r="F852" s="476">
        <f>'C'!E203</f>
        <v>116322.6</v>
      </c>
      <c r="G852" s="476">
        <f>'C'!F203</f>
        <v>106138.4</v>
      </c>
      <c r="H852" s="476">
        <f>'C'!G203</f>
        <v>75878.899999999994</v>
      </c>
      <c r="I852" s="476">
        <f>'C'!H203</f>
        <v>48386.9</v>
      </c>
      <c r="J852" s="476">
        <f>'C'!I203</f>
        <v>34090.9</v>
      </c>
      <c r="K852" s="476">
        <f>'C'!J203</f>
        <v>31140.7</v>
      </c>
      <c r="L852" s="476">
        <f>'C'!K203</f>
        <v>30451.200000000001</v>
      </c>
      <c r="M852" s="476">
        <f>'C'!L203</f>
        <v>32109</v>
      </c>
      <c r="N852" s="476">
        <f>'C'!M203</f>
        <v>40148.199999999997</v>
      </c>
      <c r="O852" s="476">
        <f>'C'!N203</f>
        <v>62458.3</v>
      </c>
      <c r="P852" s="476">
        <f>'C'!O203</f>
        <v>94003.8</v>
      </c>
      <c r="Q852" s="476">
        <f>SUM(E852:P852)</f>
        <v>786377.4</v>
      </c>
    </row>
    <row r="853" spans="1:17" s="222" customFormat="1" x14ac:dyDescent="0.2">
      <c r="A853" s="259">
        <f>A852+1</f>
        <v>23</v>
      </c>
      <c r="C853" s="222" t="str">
        <f>'C'!B192</f>
        <v xml:space="preserve">    Next 350 Mcf</v>
      </c>
      <c r="D853" s="512"/>
      <c r="E853" s="476">
        <f>'C'!D204</f>
        <v>147158.6</v>
      </c>
      <c r="F853" s="476">
        <f>'C'!E204</f>
        <v>143758.29999999999</v>
      </c>
      <c r="G853" s="476">
        <f>'C'!F204</f>
        <v>103281.1</v>
      </c>
      <c r="H853" s="476">
        <f>'C'!G204</f>
        <v>63376.9</v>
      </c>
      <c r="I853" s="476">
        <f>'C'!H204</f>
        <v>39602.300000000003</v>
      </c>
      <c r="J853" s="476">
        <f>'C'!I204</f>
        <v>30878.400000000001</v>
      </c>
      <c r="K853" s="476">
        <f>'C'!J204</f>
        <v>27567.7</v>
      </c>
      <c r="L853" s="476">
        <f>'C'!K204</f>
        <v>26232.9</v>
      </c>
      <c r="M853" s="476">
        <f>'C'!L204</f>
        <v>28470.1</v>
      </c>
      <c r="N853" s="476">
        <f>'C'!M204</f>
        <v>38563.300000000003</v>
      </c>
      <c r="O853" s="476">
        <f>'C'!N204</f>
        <v>57697.599999999999</v>
      </c>
      <c r="P853" s="476">
        <f>'C'!O204</f>
        <v>100340.5</v>
      </c>
      <c r="Q853" s="476">
        <f>SUM(E853:P853)</f>
        <v>806927.7</v>
      </c>
    </row>
    <row r="854" spans="1:17" s="222" customFormat="1" x14ac:dyDescent="0.2">
      <c r="A854" s="259">
        <f>A853+1</f>
        <v>24</v>
      </c>
      <c r="C854" s="222" t="str">
        <f>'C'!B193</f>
        <v xml:space="preserve">    Next 600 Mcf</v>
      </c>
      <c r="D854" s="512"/>
      <c r="E854" s="476">
        <f>'C'!D205</f>
        <v>37085</v>
      </c>
      <c r="F854" s="476">
        <f>'C'!E205</f>
        <v>34041.199999999997</v>
      </c>
      <c r="G854" s="476">
        <f>'C'!F205</f>
        <v>18666.5</v>
      </c>
      <c r="H854" s="476">
        <f>'C'!G205</f>
        <v>11741.5</v>
      </c>
      <c r="I854" s="476">
        <f>'C'!H205</f>
        <v>6797.7</v>
      </c>
      <c r="J854" s="476">
        <f>'C'!I205</f>
        <v>6188.9</v>
      </c>
      <c r="K854" s="476">
        <f>'C'!J205</f>
        <v>5312.4</v>
      </c>
      <c r="L854" s="476">
        <f>'C'!K205</f>
        <v>5525.8</v>
      </c>
      <c r="M854" s="476">
        <f>'C'!L205</f>
        <v>6310.6</v>
      </c>
      <c r="N854" s="476">
        <f>'C'!M205</f>
        <v>8979.6</v>
      </c>
      <c r="O854" s="476">
        <f>'C'!N205</f>
        <v>14083</v>
      </c>
      <c r="P854" s="476">
        <f>'C'!O205</f>
        <v>24521.200000000001</v>
      </c>
      <c r="Q854" s="476">
        <f>SUM(E854:P854)</f>
        <v>179253.4</v>
      </c>
    </row>
    <row r="855" spans="1:17" s="222" customFormat="1" x14ac:dyDescent="0.2">
      <c r="A855" s="259">
        <f>A854+1</f>
        <v>25</v>
      </c>
      <c r="C855" s="222" t="str">
        <f>'C'!B194</f>
        <v xml:space="preserve">    Over 1,000 Mcf</v>
      </c>
      <c r="D855" s="529"/>
      <c r="E855" s="515">
        <f>'C'!D206</f>
        <v>22508.7</v>
      </c>
      <c r="F855" s="515">
        <f>'C'!E206</f>
        <v>17880.3</v>
      </c>
      <c r="G855" s="515">
        <f>'C'!F206</f>
        <v>7915.1</v>
      </c>
      <c r="H855" s="515">
        <f>'C'!G206</f>
        <v>4006.6</v>
      </c>
      <c r="I855" s="515">
        <f>'C'!H206</f>
        <v>2211.6999999999998</v>
      </c>
      <c r="J855" s="515">
        <f>'C'!I206</f>
        <v>2841.9</v>
      </c>
      <c r="K855" s="515">
        <f>'C'!J206</f>
        <v>1978.2</v>
      </c>
      <c r="L855" s="515">
        <f>'C'!K206</f>
        <v>1791.2</v>
      </c>
      <c r="M855" s="515">
        <f>'C'!L206</f>
        <v>2108.3000000000002</v>
      </c>
      <c r="N855" s="515">
        <f>'C'!M206</f>
        <v>3303.5</v>
      </c>
      <c r="O855" s="515">
        <f>'C'!N206</f>
        <v>5755.8</v>
      </c>
      <c r="P855" s="515">
        <f>'C'!O206</f>
        <v>15131</v>
      </c>
      <c r="Q855" s="515">
        <f>SUM(E855:P855)</f>
        <v>87432.3</v>
      </c>
    </row>
    <row r="856" spans="1:17" s="222" customFormat="1" x14ac:dyDescent="0.2">
      <c r="A856" s="259"/>
      <c r="D856" s="529"/>
      <c r="E856" s="476">
        <f t="shared" ref="E856:P856" si="269">SUM(E852:E855)</f>
        <v>322000.8</v>
      </c>
      <c r="F856" s="476">
        <f t="shared" si="269"/>
        <v>312002.39999999997</v>
      </c>
      <c r="G856" s="476">
        <f t="shared" si="269"/>
        <v>236001.1</v>
      </c>
      <c r="H856" s="476">
        <f t="shared" si="269"/>
        <v>155003.9</v>
      </c>
      <c r="I856" s="476">
        <f t="shared" si="269"/>
        <v>96998.6</v>
      </c>
      <c r="J856" s="476">
        <f t="shared" si="269"/>
        <v>74000.099999999991</v>
      </c>
      <c r="K856" s="476">
        <f t="shared" si="269"/>
        <v>65999</v>
      </c>
      <c r="L856" s="476">
        <f t="shared" si="269"/>
        <v>64001.100000000006</v>
      </c>
      <c r="M856" s="476">
        <f t="shared" si="269"/>
        <v>68998</v>
      </c>
      <c r="N856" s="476">
        <f t="shared" si="269"/>
        <v>90994.6</v>
      </c>
      <c r="O856" s="476">
        <f t="shared" si="269"/>
        <v>139994.69999999998</v>
      </c>
      <c r="P856" s="476">
        <f t="shared" si="269"/>
        <v>233996.5</v>
      </c>
      <c r="Q856" s="476">
        <f>SUM(E856:P856)</f>
        <v>1859990.8000000003</v>
      </c>
    </row>
    <row r="857" spans="1:17" s="222" customFormat="1" x14ac:dyDescent="0.2">
      <c r="A857" s="259">
        <f>A855+1</f>
        <v>26</v>
      </c>
      <c r="C857" s="222" t="s">
        <v>207</v>
      </c>
      <c r="D857" s="529"/>
      <c r="F857" s="288"/>
      <c r="G857" s="469"/>
      <c r="H857" s="288"/>
      <c r="I857" s="293"/>
      <c r="J857" s="288"/>
      <c r="K857" s="288"/>
      <c r="L857" s="288"/>
      <c r="M857" s="288"/>
      <c r="N857" s="288"/>
      <c r="O857" s="288"/>
      <c r="P857" s="288"/>
      <c r="Q857" s="536"/>
    </row>
    <row r="858" spans="1:17" s="222" customFormat="1" x14ac:dyDescent="0.2">
      <c r="A858" s="259">
        <f>A857+1</f>
        <v>27</v>
      </c>
      <c r="C858" s="222" t="str">
        <f>C852</f>
        <v xml:space="preserve">    First 50 Mcf</v>
      </c>
      <c r="D858" s="782">
        <f>Input!P42</f>
        <v>3.0331999999999999</v>
      </c>
      <c r="E858" s="427">
        <f t="shared" ref="E858:P858" si="270">ROUND(E852*$D$858,2)</f>
        <v>349571.75</v>
      </c>
      <c r="F858" s="427">
        <f t="shared" si="270"/>
        <v>352829.71</v>
      </c>
      <c r="G858" s="427">
        <f t="shared" si="270"/>
        <v>321938.99</v>
      </c>
      <c r="H858" s="427">
        <f t="shared" si="270"/>
        <v>230155.88</v>
      </c>
      <c r="I858" s="427">
        <f t="shared" si="270"/>
        <v>146767.15</v>
      </c>
      <c r="J858" s="427">
        <f t="shared" si="270"/>
        <v>103404.52</v>
      </c>
      <c r="K858" s="427">
        <f t="shared" si="270"/>
        <v>94455.97</v>
      </c>
      <c r="L858" s="427">
        <f t="shared" si="270"/>
        <v>92364.58</v>
      </c>
      <c r="M858" s="427">
        <f t="shared" si="270"/>
        <v>97393.02</v>
      </c>
      <c r="N858" s="427">
        <f t="shared" si="270"/>
        <v>121777.52</v>
      </c>
      <c r="O858" s="427">
        <f t="shared" si="270"/>
        <v>189448.52</v>
      </c>
      <c r="P858" s="427">
        <f t="shared" si="270"/>
        <v>285132.33</v>
      </c>
      <c r="Q858" s="427">
        <f>SUM(E858:P858)</f>
        <v>2385239.94</v>
      </c>
    </row>
    <row r="859" spans="1:17" s="222" customFormat="1" x14ac:dyDescent="0.2">
      <c r="A859" s="259">
        <f>A858+1</f>
        <v>28</v>
      </c>
      <c r="C859" s="222" t="str">
        <f>C853</f>
        <v xml:space="preserve">    Next 350 Mcf</v>
      </c>
      <c r="D859" s="782">
        <f>Input!Q42</f>
        <v>2.3445999999999998</v>
      </c>
      <c r="E859" s="472">
        <f t="shared" ref="E859:P859" si="271">ROUND(E853*$D$859,2)</f>
        <v>345028.05</v>
      </c>
      <c r="F859" s="472">
        <f t="shared" si="271"/>
        <v>337055.71</v>
      </c>
      <c r="G859" s="472">
        <f t="shared" si="271"/>
        <v>242152.87</v>
      </c>
      <c r="H859" s="472">
        <f t="shared" si="271"/>
        <v>148593.48000000001</v>
      </c>
      <c r="I859" s="472">
        <f t="shared" si="271"/>
        <v>92851.55</v>
      </c>
      <c r="J859" s="472">
        <f t="shared" si="271"/>
        <v>72397.5</v>
      </c>
      <c r="K859" s="472">
        <f t="shared" si="271"/>
        <v>64635.23</v>
      </c>
      <c r="L859" s="472">
        <f t="shared" si="271"/>
        <v>61505.66</v>
      </c>
      <c r="M859" s="472">
        <f t="shared" si="271"/>
        <v>66751</v>
      </c>
      <c r="N859" s="472">
        <f t="shared" si="271"/>
        <v>90415.51</v>
      </c>
      <c r="O859" s="472">
        <f t="shared" si="271"/>
        <v>135277.79</v>
      </c>
      <c r="P859" s="472">
        <f t="shared" si="271"/>
        <v>235258.34</v>
      </c>
      <c r="Q859" s="472">
        <f>SUM(E859:P859)</f>
        <v>1891922.6900000002</v>
      </c>
    </row>
    <row r="860" spans="1:17" s="222" customFormat="1" x14ac:dyDescent="0.2">
      <c r="A860" s="259">
        <f>A859+1</f>
        <v>29</v>
      </c>
      <c r="C860" s="222" t="str">
        <f>C854</f>
        <v xml:space="preserve">    Next 600 Mcf</v>
      </c>
      <c r="D860" s="782">
        <f>Input!R42</f>
        <v>2.2294</v>
      </c>
      <c r="E860" s="472">
        <f t="shared" ref="E860:O860" si="272">ROUND(E854*$D$860,2)</f>
        <v>82677.3</v>
      </c>
      <c r="F860" s="472">
        <f t="shared" si="272"/>
        <v>75891.45</v>
      </c>
      <c r="G860" s="472">
        <f t="shared" si="272"/>
        <v>41615.1</v>
      </c>
      <c r="H860" s="472">
        <f t="shared" si="272"/>
        <v>26176.5</v>
      </c>
      <c r="I860" s="472">
        <f t="shared" si="272"/>
        <v>15154.79</v>
      </c>
      <c r="J860" s="472">
        <f t="shared" si="272"/>
        <v>13797.53</v>
      </c>
      <c r="K860" s="472">
        <f t="shared" si="272"/>
        <v>11843.46</v>
      </c>
      <c r="L860" s="472">
        <f t="shared" si="272"/>
        <v>12319.22</v>
      </c>
      <c r="M860" s="472">
        <f t="shared" si="272"/>
        <v>14068.85</v>
      </c>
      <c r="N860" s="472">
        <f t="shared" si="272"/>
        <v>20019.12</v>
      </c>
      <c r="O860" s="472">
        <f t="shared" si="272"/>
        <v>31396.639999999999</v>
      </c>
      <c r="P860" s="472">
        <f>ROUND(P854*$D$860,2)</f>
        <v>54667.56</v>
      </c>
      <c r="Q860" s="472">
        <f>SUM(E860:P860)</f>
        <v>399627.51999999996</v>
      </c>
    </row>
    <row r="861" spans="1:17" s="222" customFormat="1" x14ac:dyDescent="0.2">
      <c r="A861" s="259">
        <f>A860+1</f>
        <v>30</v>
      </c>
      <c r="C861" s="222" t="str">
        <f>C855</f>
        <v xml:space="preserve">    Over 1,000 Mcf</v>
      </c>
      <c r="D861" s="782">
        <f>Input!S42</f>
        <v>2.0294000000000003</v>
      </c>
      <c r="E861" s="521">
        <f t="shared" ref="E861:O861" si="273">ROUND(E855*$D$861,2)</f>
        <v>45679.16</v>
      </c>
      <c r="F861" s="521">
        <f t="shared" si="273"/>
        <v>36286.28</v>
      </c>
      <c r="G861" s="521">
        <f t="shared" si="273"/>
        <v>16062.9</v>
      </c>
      <c r="H861" s="521">
        <f t="shared" si="273"/>
        <v>8130.99</v>
      </c>
      <c r="I861" s="521">
        <f t="shared" si="273"/>
        <v>4488.42</v>
      </c>
      <c r="J861" s="521">
        <f t="shared" si="273"/>
        <v>5767.35</v>
      </c>
      <c r="K861" s="521">
        <f t="shared" si="273"/>
        <v>4014.56</v>
      </c>
      <c r="L861" s="521">
        <f t="shared" si="273"/>
        <v>3635.06</v>
      </c>
      <c r="M861" s="521">
        <f t="shared" si="273"/>
        <v>4278.58</v>
      </c>
      <c r="N861" s="521">
        <f t="shared" si="273"/>
        <v>6704.12</v>
      </c>
      <c r="O861" s="521">
        <f t="shared" si="273"/>
        <v>11680.82</v>
      </c>
      <c r="P861" s="521">
        <f>ROUND(P855*$D$861,2)</f>
        <v>30706.85</v>
      </c>
      <c r="Q861" s="521">
        <f>SUM(E861:P861)</f>
        <v>177435.09000000003</v>
      </c>
    </row>
    <row r="862" spans="1:17" s="222" customFormat="1" x14ac:dyDescent="0.2">
      <c r="A862" s="259"/>
      <c r="D862" s="286"/>
      <c r="E862" s="427">
        <f t="shared" ref="E862:P862" si="274">SUM(E858:E861)</f>
        <v>822956.26000000013</v>
      </c>
      <c r="F862" s="427">
        <f t="shared" si="274"/>
        <v>802063.15</v>
      </c>
      <c r="G862" s="427">
        <f t="shared" si="274"/>
        <v>621769.86</v>
      </c>
      <c r="H862" s="427">
        <f t="shared" si="274"/>
        <v>413056.85</v>
      </c>
      <c r="I862" s="427">
        <f t="shared" si="274"/>
        <v>259261.91000000003</v>
      </c>
      <c r="J862" s="427">
        <f t="shared" si="274"/>
        <v>195366.90000000002</v>
      </c>
      <c r="K862" s="427">
        <f t="shared" si="274"/>
        <v>174949.22</v>
      </c>
      <c r="L862" s="427">
        <f t="shared" si="274"/>
        <v>169824.52</v>
      </c>
      <c r="M862" s="427">
        <f t="shared" si="274"/>
        <v>182491.45</v>
      </c>
      <c r="N862" s="427">
        <f t="shared" si="274"/>
        <v>238916.27</v>
      </c>
      <c r="O862" s="427">
        <f t="shared" si="274"/>
        <v>367803.77</v>
      </c>
      <c r="P862" s="427">
        <f t="shared" si="274"/>
        <v>605765.07999999996</v>
      </c>
      <c r="Q862" s="427">
        <f>SUM(E862:P862)</f>
        <v>4854225.24</v>
      </c>
    </row>
    <row r="863" spans="1:17" s="222" customFormat="1" x14ac:dyDescent="0.2">
      <c r="A863" s="259"/>
      <c r="D863" s="286"/>
      <c r="E863" s="288"/>
      <c r="F863" s="288"/>
      <c r="G863" s="288"/>
      <c r="H863" s="288"/>
      <c r="I863" s="288"/>
      <c r="J863" s="288"/>
      <c r="K863" s="288"/>
      <c r="L863" s="288"/>
      <c r="M863" s="288"/>
      <c r="N863" s="288"/>
      <c r="O863" s="288"/>
      <c r="P863" s="288"/>
      <c r="Q863" s="288"/>
    </row>
    <row r="864" spans="1:17" s="222" customFormat="1" x14ac:dyDescent="0.2">
      <c r="A864" s="259">
        <f>A861+1</f>
        <v>31</v>
      </c>
      <c r="C864" s="222" t="s">
        <v>204</v>
      </c>
      <c r="D864" s="286"/>
      <c r="E864" s="427">
        <f t="shared" ref="E864:P864" si="275">E848+E849+E862</f>
        <v>994431.79000000015</v>
      </c>
      <c r="F864" s="427">
        <f t="shared" si="275"/>
        <v>972287.36</v>
      </c>
      <c r="G864" s="427">
        <f t="shared" si="275"/>
        <v>804686.03</v>
      </c>
      <c r="H864" s="427">
        <f t="shared" si="275"/>
        <v>595436.74</v>
      </c>
      <c r="I864" s="427">
        <f t="shared" si="275"/>
        <v>440613.93000000005</v>
      </c>
      <c r="J864" s="427">
        <f t="shared" si="275"/>
        <v>376003.88</v>
      </c>
      <c r="K864" s="427">
        <f t="shared" si="275"/>
        <v>354424.26</v>
      </c>
      <c r="L864" s="427">
        <f t="shared" si="275"/>
        <v>346618.16000000003</v>
      </c>
      <c r="M864" s="427">
        <f t="shared" si="275"/>
        <v>357855.01</v>
      </c>
      <c r="N864" s="427">
        <f t="shared" si="275"/>
        <v>413162.57999999996</v>
      </c>
      <c r="O864" s="427">
        <f t="shared" si="275"/>
        <v>541066.9</v>
      </c>
      <c r="P864" s="427">
        <f t="shared" si="275"/>
        <v>777955.64999999991</v>
      </c>
      <c r="Q864" s="427">
        <f>SUM(E864:P864)</f>
        <v>6974542.290000001</v>
      </c>
    </row>
    <row r="865" spans="1:17" s="222" customFormat="1" x14ac:dyDescent="0.2">
      <c r="A865" s="259"/>
      <c r="E865" s="482"/>
      <c r="F865" s="482"/>
      <c r="G865" s="482"/>
      <c r="H865" s="482"/>
      <c r="I865" s="482"/>
      <c r="J865" s="482"/>
      <c r="K865" s="482"/>
      <c r="L865" s="482"/>
      <c r="M865" s="482"/>
      <c r="N865" s="482"/>
      <c r="O865" s="482"/>
      <c r="P865" s="482"/>
      <c r="Q865" s="482"/>
    </row>
    <row r="866" spans="1:17" s="222" customFormat="1" x14ac:dyDescent="0.2">
      <c r="A866" s="259">
        <f>A864+1</f>
        <v>32</v>
      </c>
      <c r="C866" s="222" t="s">
        <v>151</v>
      </c>
      <c r="D866" s="783">
        <v>0</v>
      </c>
      <c r="E866" s="510">
        <v>0</v>
      </c>
      <c r="F866" s="510">
        <v>0</v>
      </c>
      <c r="G866" s="510">
        <v>0</v>
      </c>
      <c r="H866" s="510">
        <v>0</v>
      </c>
      <c r="I866" s="510">
        <v>0</v>
      </c>
      <c r="J866" s="510">
        <v>0</v>
      </c>
      <c r="K866" s="510">
        <v>0</v>
      </c>
      <c r="L866" s="510">
        <v>0</v>
      </c>
      <c r="M866" s="510">
        <v>0</v>
      </c>
      <c r="N866" s="510">
        <v>0</v>
      </c>
      <c r="O866" s="510">
        <v>0</v>
      </c>
      <c r="P866" s="510">
        <v>0</v>
      </c>
      <c r="Q866" s="427">
        <f>SUM(E866:P866)</f>
        <v>0</v>
      </c>
    </row>
    <row r="867" spans="1:17" s="222" customFormat="1" x14ac:dyDescent="0.2">
      <c r="A867" s="259"/>
      <c r="D867" s="286"/>
      <c r="F867" s="288"/>
      <c r="G867" s="469"/>
      <c r="H867" s="288"/>
      <c r="I867" s="293"/>
      <c r="J867" s="288"/>
      <c r="K867" s="288"/>
      <c r="L867" s="288"/>
      <c r="M867" s="288"/>
      <c r="N867" s="288"/>
      <c r="O867" s="288"/>
      <c r="P867" s="288"/>
      <c r="Q867" s="469"/>
    </row>
    <row r="868" spans="1:17" s="222" customFormat="1" ht="10.8" thickBot="1" x14ac:dyDescent="0.25">
      <c r="A868" s="717">
        <f>A866+1</f>
        <v>33</v>
      </c>
      <c r="B868" s="489"/>
      <c r="C868" s="718" t="s">
        <v>205</v>
      </c>
      <c r="D868" s="719"/>
      <c r="E868" s="492">
        <f t="shared" ref="E868:P868" si="276">E864+E866</f>
        <v>994431.79000000015</v>
      </c>
      <c r="F868" s="492">
        <f t="shared" si="276"/>
        <v>972287.36</v>
      </c>
      <c r="G868" s="492">
        <f t="shared" si="276"/>
        <v>804686.03</v>
      </c>
      <c r="H868" s="492">
        <f t="shared" si="276"/>
        <v>595436.74</v>
      </c>
      <c r="I868" s="492">
        <f t="shared" si="276"/>
        <v>440613.93000000005</v>
      </c>
      <c r="J868" s="492">
        <f t="shared" si="276"/>
        <v>376003.88</v>
      </c>
      <c r="K868" s="492">
        <f t="shared" si="276"/>
        <v>354424.26</v>
      </c>
      <c r="L868" s="492">
        <f t="shared" si="276"/>
        <v>346618.16000000003</v>
      </c>
      <c r="M868" s="492">
        <f t="shared" si="276"/>
        <v>357855.01</v>
      </c>
      <c r="N868" s="492">
        <f t="shared" si="276"/>
        <v>413162.57999999996</v>
      </c>
      <c r="O868" s="492">
        <f t="shared" si="276"/>
        <v>541066.9</v>
      </c>
      <c r="P868" s="492">
        <f t="shared" si="276"/>
        <v>777955.64999999991</v>
      </c>
      <c r="Q868" s="492">
        <f>SUM(E868:P868)</f>
        <v>6974542.290000001</v>
      </c>
    </row>
    <row r="869" spans="1:17" s="222" customFormat="1" ht="10.8" thickTop="1" x14ac:dyDescent="0.2">
      <c r="A869" s="259"/>
      <c r="D869" s="286"/>
      <c r="F869" s="288"/>
      <c r="G869" s="469"/>
      <c r="H869" s="288"/>
      <c r="I869" s="293"/>
      <c r="J869" s="288"/>
      <c r="K869" s="288"/>
      <c r="L869" s="288"/>
      <c r="M869" s="288"/>
      <c r="N869" s="288"/>
      <c r="O869" s="288"/>
      <c r="P869" s="288"/>
      <c r="Q869" s="469"/>
    </row>
    <row r="870" spans="1:17" s="222" customFormat="1" x14ac:dyDescent="0.2">
      <c r="A870" s="259"/>
      <c r="D870" s="286"/>
      <c r="F870" s="288"/>
      <c r="G870" s="469"/>
      <c r="H870" s="288"/>
      <c r="I870" s="293"/>
      <c r="J870" s="288"/>
      <c r="K870" s="288"/>
      <c r="L870" s="288"/>
      <c r="M870" s="288"/>
      <c r="N870" s="288"/>
      <c r="O870" s="288"/>
      <c r="P870" s="288"/>
    </row>
    <row r="871" spans="1:17" s="222" customFormat="1" x14ac:dyDescent="0.2">
      <c r="A871" s="622" t="str">
        <f>$A$265</f>
        <v>[1] Reflects Normalized Volumes.</v>
      </c>
      <c r="D871" s="286"/>
      <c r="F871" s="288"/>
      <c r="G871" s="469"/>
      <c r="H871" s="288"/>
      <c r="I871" s="293"/>
      <c r="J871" s="288"/>
      <c r="K871" s="288"/>
      <c r="L871" s="288"/>
      <c r="M871" s="288"/>
      <c r="N871" s="288"/>
      <c r="O871" s="288"/>
      <c r="P871" s="288"/>
    </row>
    <row r="872" spans="1:17" s="222" customFormat="1" x14ac:dyDescent="0.2">
      <c r="A872" s="995" t="str">
        <f>CONAME</f>
        <v>Columbia Gas of Kentucky, Inc.</v>
      </c>
      <c r="B872" s="995"/>
      <c r="C872" s="995"/>
      <c r="D872" s="995"/>
      <c r="E872" s="995"/>
      <c r="F872" s="995"/>
      <c r="G872" s="995"/>
      <c r="H872" s="995"/>
      <c r="I872" s="995"/>
      <c r="J872" s="995"/>
      <c r="K872" s="995"/>
      <c r="L872" s="995"/>
      <c r="M872" s="995"/>
      <c r="N872" s="995"/>
      <c r="O872" s="995"/>
      <c r="P872" s="995"/>
      <c r="Q872" s="995"/>
    </row>
    <row r="873" spans="1:17" s="222" customFormat="1" x14ac:dyDescent="0.2">
      <c r="A873" s="978" t="str">
        <f>case</f>
        <v>Case No. 2016-00162</v>
      </c>
      <c r="B873" s="978"/>
      <c r="C873" s="978"/>
      <c r="D873" s="978"/>
      <c r="E873" s="978"/>
      <c r="F873" s="978"/>
      <c r="G873" s="978"/>
      <c r="H873" s="978"/>
      <c r="I873" s="978"/>
      <c r="J873" s="978"/>
      <c r="K873" s="978"/>
      <c r="L873" s="978"/>
      <c r="M873" s="978"/>
      <c r="N873" s="978"/>
      <c r="O873" s="978"/>
      <c r="P873" s="978"/>
      <c r="Q873" s="978"/>
    </row>
    <row r="874" spans="1:17" s="222" customFormat="1" x14ac:dyDescent="0.2">
      <c r="A874" s="996" t="s">
        <v>200</v>
      </c>
      <c r="B874" s="996"/>
      <c r="C874" s="996"/>
      <c r="D874" s="996"/>
      <c r="E874" s="996"/>
      <c r="F874" s="996"/>
      <c r="G874" s="996"/>
      <c r="H874" s="996"/>
      <c r="I874" s="996"/>
      <c r="J874" s="996"/>
      <c r="K874" s="996"/>
      <c r="L874" s="996"/>
      <c r="M874" s="996"/>
      <c r="N874" s="996"/>
      <c r="O874" s="996"/>
      <c r="P874" s="996"/>
      <c r="Q874" s="996"/>
    </row>
    <row r="875" spans="1:17" s="222" customFormat="1" x14ac:dyDescent="0.2">
      <c r="A875" s="995" t="str">
        <f>TYDESC</f>
        <v>For the 12 Months Ended December 31, 2017</v>
      </c>
      <c r="B875" s="995"/>
      <c r="C875" s="995"/>
      <c r="D875" s="995"/>
      <c r="E875" s="995"/>
      <c r="F875" s="995"/>
      <c r="G875" s="995"/>
      <c r="H875" s="995"/>
      <c r="I875" s="995"/>
      <c r="J875" s="995"/>
      <c r="K875" s="995"/>
      <c r="L875" s="995"/>
      <c r="M875" s="995"/>
      <c r="N875" s="995"/>
      <c r="O875" s="995"/>
      <c r="P875" s="995"/>
      <c r="Q875" s="995"/>
    </row>
    <row r="876" spans="1:17" s="222" customFormat="1" x14ac:dyDescent="0.2">
      <c r="A876" s="997" t="s">
        <v>39</v>
      </c>
      <c r="B876" s="997"/>
      <c r="C876" s="997"/>
      <c r="D876" s="997"/>
      <c r="E876" s="997"/>
      <c r="F876" s="997"/>
      <c r="G876" s="997"/>
      <c r="H876" s="997"/>
      <c r="I876" s="997"/>
      <c r="J876" s="997"/>
      <c r="K876" s="997"/>
      <c r="L876" s="997"/>
      <c r="M876" s="997"/>
      <c r="N876" s="997"/>
      <c r="O876" s="997"/>
      <c r="P876" s="997"/>
      <c r="Q876" s="997"/>
    </row>
    <row r="877" spans="1:17" s="222" customFormat="1" x14ac:dyDescent="0.2">
      <c r="A877" s="711" t="str">
        <f>$A$52</f>
        <v>Data: __ Base Period _X_ Forecasted Period</v>
      </c>
      <c r="D877" s="286"/>
      <c r="F877" s="288"/>
      <c r="G877" s="469"/>
      <c r="H877" s="288"/>
      <c r="I877" s="293"/>
      <c r="J877" s="288"/>
      <c r="K877" s="288"/>
      <c r="L877" s="288"/>
      <c r="M877" s="288"/>
      <c r="N877" s="288"/>
      <c r="O877" s="288"/>
      <c r="P877" s="288"/>
    </row>
    <row r="878" spans="1:17" s="222" customFormat="1" x14ac:dyDescent="0.2">
      <c r="A878" s="711" t="str">
        <f>$A$53</f>
        <v>Type of Filing: X Original _ Update _ Revised</v>
      </c>
      <c r="D878" s="286"/>
      <c r="F878" s="288"/>
      <c r="G878" s="469"/>
      <c r="H878" s="288"/>
      <c r="I878" s="293"/>
      <c r="J878" s="288"/>
      <c r="K878" s="288"/>
      <c r="L878" s="288"/>
      <c r="M878" s="288"/>
      <c r="N878" s="288"/>
      <c r="O878" s="288"/>
      <c r="P878" s="288"/>
      <c r="Q878" s="720" t="str">
        <f>$Q$53</f>
        <v>Schedule M-2.3</v>
      </c>
    </row>
    <row r="879" spans="1:17" s="222" customFormat="1" x14ac:dyDescent="0.2">
      <c r="A879" s="711" t="str">
        <f>$A$54</f>
        <v>Work Paper Reference No(s):</v>
      </c>
      <c r="D879" s="286"/>
      <c r="F879" s="288"/>
      <c r="G879" s="469"/>
      <c r="H879" s="288"/>
      <c r="I879" s="293"/>
      <c r="J879" s="288"/>
      <c r="K879" s="288"/>
      <c r="L879" s="288"/>
      <c r="M879" s="288"/>
      <c r="N879" s="288"/>
      <c r="O879" s="288"/>
      <c r="P879" s="288"/>
      <c r="Q879" s="720" t="s">
        <v>505</v>
      </c>
    </row>
    <row r="880" spans="1:17" s="222" customFormat="1" x14ac:dyDescent="0.2">
      <c r="A880" s="712" t="str">
        <f>$A$55</f>
        <v>12 Months Forecasted</v>
      </c>
      <c r="D880" s="286"/>
      <c r="F880" s="288"/>
      <c r="G880" s="469"/>
      <c r="H880" s="288"/>
      <c r="I880" s="293"/>
      <c r="J880" s="288"/>
      <c r="K880" s="288"/>
      <c r="L880" s="288"/>
      <c r="M880" s="288"/>
      <c r="N880" s="288"/>
      <c r="O880" s="288"/>
      <c r="P880" s="288"/>
      <c r="Q880" s="720" t="str">
        <f>Witness</f>
        <v>Witness:  M. J. Bell</v>
      </c>
    </row>
    <row r="881" spans="1:17" s="222" customFormat="1" x14ac:dyDescent="0.2">
      <c r="A881" s="998" t="s">
        <v>293</v>
      </c>
      <c r="B881" s="998"/>
      <c r="C881" s="998"/>
      <c r="D881" s="998"/>
      <c r="E881" s="998"/>
      <c r="F881" s="998"/>
      <c r="G881" s="998"/>
      <c r="H881" s="998"/>
      <c r="I881" s="998"/>
      <c r="J881" s="998"/>
      <c r="K881" s="998"/>
      <c r="L881" s="998"/>
      <c r="M881" s="998"/>
      <c r="N881" s="998"/>
      <c r="O881" s="998"/>
      <c r="P881" s="998"/>
      <c r="Q881" s="998"/>
    </row>
    <row r="882" spans="1:17" s="222" customFormat="1" x14ac:dyDescent="0.2">
      <c r="A882" s="225"/>
      <c r="B882" s="302"/>
      <c r="C882" s="302"/>
      <c r="D882" s="304"/>
      <c r="E882" s="302"/>
      <c r="F882" s="495"/>
      <c r="G882" s="496"/>
      <c r="H882" s="495"/>
      <c r="I882" s="497"/>
      <c r="J882" s="495"/>
      <c r="K882" s="495"/>
      <c r="L882" s="495"/>
      <c r="M882" s="495"/>
      <c r="N882" s="495"/>
      <c r="O882" s="495"/>
      <c r="P882" s="495"/>
      <c r="Q882" s="302"/>
    </row>
    <row r="883" spans="1:17" s="222" customFormat="1" x14ac:dyDescent="0.2">
      <c r="A883" s="410" t="s">
        <v>1</v>
      </c>
      <c r="B883" s="410" t="s">
        <v>0</v>
      </c>
      <c r="C883" s="410" t="s">
        <v>41</v>
      </c>
      <c r="D883" s="416" t="s">
        <v>30</v>
      </c>
      <c r="E883" s="410"/>
      <c r="F883" s="722"/>
      <c r="G883" s="725"/>
      <c r="H883" s="722"/>
      <c r="I883" s="726"/>
      <c r="J883" s="722"/>
      <c r="K883" s="722"/>
      <c r="L883" s="722"/>
      <c r="M883" s="722"/>
      <c r="N883" s="722"/>
      <c r="O883" s="722"/>
      <c r="P883" s="722"/>
      <c r="Q883" s="230"/>
    </row>
    <row r="884" spans="1:17" s="222" customFormat="1" x14ac:dyDescent="0.2">
      <c r="A884" s="281" t="s">
        <v>3</v>
      </c>
      <c r="B884" s="281" t="s">
        <v>40</v>
      </c>
      <c r="C884" s="281" t="s">
        <v>4</v>
      </c>
      <c r="D884" s="420" t="s">
        <v>48</v>
      </c>
      <c r="E884" s="421" t="str">
        <f>B!$D$11</f>
        <v>Jan-17</v>
      </c>
      <c r="F884" s="421" t="str">
        <f>B!$E$11</f>
        <v>Feb-17</v>
      </c>
      <c r="G884" s="421" t="str">
        <f>B!$F$11</f>
        <v>Mar-17</v>
      </c>
      <c r="H884" s="421" t="str">
        <f>B!$G$11</f>
        <v>Apr-17</v>
      </c>
      <c r="I884" s="421" t="str">
        <f>B!$H$11</f>
        <v>May-17</v>
      </c>
      <c r="J884" s="421" t="str">
        <f>B!$I$11</f>
        <v>Jun-17</v>
      </c>
      <c r="K884" s="421" t="str">
        <f>B!$J$11</f>
        <v>Jul-17</v>
      </c>
      <c r="L884" s="421" t="str">
        <f>B!$K$11</f>
        <v>Aug-17</v>
      </c>
      <c r="M884" s="421" t="str">
        <f>B!$L$11</f>
        <v>Sep-17</v>
      </c>
      <c r="N884" s="421" t="str">
        <f>B!$M$11</f>
        <v>Oct-17</v>
      </c>
      <c r="O884" s="421" t="str">
        <f>B!$N$11</f>
        <v>Nov-17</v>
      </c>
      <c r="P884" s="421" t="str">
        <f>B!$O$11</f>
        <v>Dec-17</v>
      </c>
      <c r="Q884" s="421" t="s">
        <v>9</v>
      </c>
    </row>
    <row r="885" spans="1:17" s="222" customFormat="1" x14ac:dyDescent="0.2">
      <c r="A885" s="410"/>
      <c r="B885" s="229" t="s">
        <v>42</v>
      </c>
      <c r="C885" s="229" t="s">
        <v>43</v>
      </c>
      <c r="D885" s="423" t="s">
        <v>45</v>
      </c>
      <c r="E885" s="424" t="s">
        <v>46</v>
      </c>
      <c r="F885" s="424" t="s">
        <v>49</v>
      </c>
      <c r="G885" s="424" t="s">
        <v>50</v>
      </c>
      <c r="H885" s="424" t="s">
        <v>51</v>
      </c>
      <c r="I885" s="424" t="s">
        <v>52</v>
      </c>
      <c r="J885" s="425" t="s">
        <v>53</v>
      </c>
      <c r="K885" s="425" t="s">
        <v>54</v>
      </c>
      <c r="L885" s="425" t="s">
        <v>55</v>
      </c>
      <c r="M885" s="425" t="s">
        <v>56</v>
      </c>
      <c r="N885" s="425" t="s">
        <v>57</v>
      </c>
      <c r="O885" s="425" t="s">
        <v>58</v>
      </c>
      <c r="P885" s="425" t="s">
        <v>59</v>
      </c>
      <c r="Q885" s="425" t="s">
        <v>203</v>
      </c>
    </row>
    <row r="886" spans="1:17" s="222" customFormat="1" x14ac:dyDescent="0.2">
      <c r="A886" s="259"/>
      <c r="D886" s="286"/>
      <c r="E886" s="230"/>
      <c r="F886" s="727"/>
      <c r="G886" s="723"/>
      <c r="H886" s="727"/>
      <c r="I886" s="724"/>
      <c r="J886" s="727"/>
      <c r="K886" s="727"/>
      <c r="L886" s="727"/>
      <c r="M886" s="727"/>
      <c r="N886" s="727"/>
      <c r="O886" s="727"/>
      <c r="P886" s="727"/>
      <c r="Q886" s="230"/>
    </row>
    <row r="887" spans="1:17" s="222" customFormat="1" x14ac:dyDescent="0.2">
      <c r="A887" s="259">
        <v>1</v>
      </c>
      <c r="B887" s="222" t="str">
        <f>B236</f>
        <v>GTO</v>
      </c>
      <c r="C887" s="222" t="str">
        <f>C236</f>
        <v>GTS Choice - Industrial</v>
      </c>
      <c r="D887" s="286"/>
      <c r="F887" s="288"/>
      <c r="G887" s="469"/>
      <c r="H887" s="288"/>
      <c r="I887" s="293"/>
      <c r="J887" s="288"/>
      <c r="K887" s="288"/>
      <c r="L887" s="288"/>
      <c r="M887" s="288"/>
      <c r="N887" s="288"/>
      <c r="O887" s="288"/>
      <c r="P887" s="288"/>
    </row>
    <row r="888" spans="1:17" s="222" customFormat="1" x14ac:dyDescent="0.2">
      <c r="A888" s="259"/>
      <c r="D888" s="286"/>
      <c r="F888" s="288"/>
      <c r="G888" s="469"/>
      <c r="H888" s="288"/>
      <c r="I888" s="293"/>
      <c r="J888" s="288"/>
      <c r="K888" s="288"/>
      <c r="L888" s="288"/>
      <c r="M888" s="288"/>
      <c r="N888" s="288"/>
      <c r="O888" s="288"/>
      <c r="P888" s="288"/>
    </row>
    <row r="889" spans="1:17" s="222" customFormat="1" x14ac:dyDescent="0.2">
      <c r="A889" s="259">
        <f>A887+1</f>
        <v>2</v>
      </c>
      <c r="C889" s="262" t="s">
        <v>112</v>
      </c>
      <c r="D889" s="286"/>
      <c r="F889" s="288"/>
      <c r="G889" s="469"/>
      <c r="H889" s="288"/>
      <c r="I889" s="293"/>
      <c r="J889" s="288"/>
      <c r="K889" s="288"/>
      <c r="L889" s="288"/>
      <c r="M889" s="288"/>
      <c r="N889" s="288"/>
      <c r="O889" s="288"/>
      <c r="P889" s="288"/>
    </row>
    <row r="890" spans="1:17" s="222" customFormat="1" x14ac:dyDescent="0.2">
      <c r="A890" s="259"/>
      <c r="C890" s="262"/>
      <c r="D890" s="286"/>
      <c r="F890" s="288"/>
      <c r="G890" s="469"/>
      <c r="H890" s="288"/>
      <c r="I890" s="293"/>
      <c r="J890" s="288"/>
      <c r="K890" s="288"/>
      <c r="L890" s="288"/>
      <c r="M890" s="288"/>
      <c r="N890" s="288"/>
      <c r="O890" s="288"/>
      <c r="P890" s="288"/>
    </row>
    <row r="891" spans="1:17" s="222" customFormat="1" x14ac:dyDescent="0.2">
      <c r="A891" s="259">
        <f>A889+1</f>
        <v>3</v>
      </c>
      <c r="C891" s="222" t="s">
        <v>202</v>
      </c>
      <c r="D891" s="286"/>
      <c r="E891" s="472">
        <f>B!D176</f>
        <v>13</v>
      </c>
      <c r="F891" s="472">
        <f>B!E176</f>
        <v>13</v>
      </c>
      <c r="G891" s="472">
        <f>B!F176</f>
        <v>12</v>
      </c>
      <c r="H891" s="472">
        <f>B!G176</f>
        <v>13</v>
      </c>
      <c r="I891" s="472">
        <f>B!H176</f>
        <v>12</v>
      </c>
      <c r="J891" s="472">
        <f>B!I176</f>
        <v>12</v>
      </c>
      <c r="K891" s="472">
        <f>B!J176</f>
        <v>12</v>
      </c>
      <c r="L891" s="472">
        <f>B!K176</f>
        <v>12</v>
      </c>
      <c r="M891" s="472">
        <f>B!L176</f>
        <v>12</v>
      </c>
      <c r="N891" s="472">
        <f>B!M176</f>
        <v>12</v>
      </c>
      <c r="O891" s="472">
        <f>B!N176</f>
        <v>13</v>
      </c>
      <c r="P891" s="472">
        <f>B!O176</f>
        <v>13</v>
      </c>
      <c r="Q891" s="472">
        <f>SUM(E891:P891)</f>
        <v>149</v>
      </c>
    </row>
    <row r="892" spans="1:17" s="222" customFormat="1" x14ac:dyDescent="0.2">
      <c r="A892" s="259">
        <f>A891+1</f>
        <v>4</v>
      </c>
      <c r="C892" s="222" t="s">
        <v>210</v>
      </c>
      <c r="D892" s="781">
        <f>Input!U43</f>
        <v>44.69</v>
      </c>
      <c r="E892" s="427">
        <f t="shared" ref="E892:P892" si="277">ROUND(E891*$D$892,2)</f>
        <v>580.97</v>
      </c>
      <c r="F892" s="427">
        <f t="shared" si="277"/>
        <v>580.97</v>
      </c>
      <c r="G892" s="427">
        <f t="shared" si="277"/>
        <v>536.28</v>
      </c>
      <c r="H892" s="427">
        <f t="shared" si="277"/>
        <v>580.97</v>
      </c>
      <c r="I892" s="427">
        <f t="shared" si="277"/>
        <v>536.28</v>
      </c>
      <c r="J892" s="427">
        <f t="shared" si="277"/>
        <v>536.28</v>
      </c>
      <c r="K892" s="427">
        <f t="shared" si="277"/>
        <v>536.28</v>
      </c>
      <c r="L892" s="427">
        <f t="shared" si="277"/>
        <v>536.28</v>
      </c>
      <c r="M892" s="427">
        <f t="shared" si="277"/>
        <v>536.28</v>
      </c>
      <c r="N892" s="427">
        <f t="shared" si="277"/>
        <v>536.28</v>
      </c>
      <c r="O892" s="427">
        <f t="shared" si="277"/>
        <v>580.97</v>
      </c>
      <c r="P892" s="427">
        <f t="shared" si="277"/>
        <v>580.97</v>
      </c>
      <c r="Q892" s="427">
        <f>SUM(E892:P892)</f>
        <v>6658.8099999999995</v>
      </c>
    </row>
    <row r="893" spans="1:17" s="222" customFormat="1" x14ac:dyDescent="0.2">
      <c r="A893" s="259">
        <f>A892+1</f>
        <v>5</v>
      </c>
      <c r="C893" s="222" t="s">
        <v>211</v>
      </c>
      <c r="D893" s="781">
        <f>Input!W43</f>
        <v>0</v>
      </c>
      <c r="E893" s="427">
        <f t="shared" ref="E893:P893" si="278">ROUND(E891*$D$893,2)</f>
        <v>0</v>
      </c>
      <c r="F893" s="427">
        <f t="shared" si="278"/>
        <v>0</v>
      </c>
      <c r="G893" s="427">
        <f t="shared" si="278"/>
        <v>0</v>
      </c>
      <c r="H893" s="427">
        <f t="shared" si="278"/>
        <v>0</v>
      </c>
      <c r="I893" s="427">
        <f t="shared" si="278"/>
        <v>0</v>
      </c>
      <c r="J893" s="427">
        <f t="shared" si="278"/>
        <v>0</v>
      </c>
      <c r="K893" s="427">
        <f t="shared" si="278"/>
        <v>0</v>
      </c>
      <c r="L893" s="427">
        <f t="shared" si="278"/>
        <v>0</v>
      </c>
      <c r="M893" s="427">
        <f t="shared" si="278"/>
        <v>0</v>
      </c>
      <c r="N893" s="427">
        <f t="shared" si="278"/>
        <v>0</v>
      </c>
      <c r="O893" s="427">
        <f t="shared" si="278"/>
        <v>0</v>
      </c>
      <c r="P893" s="427">
        <f t="shared" si="278"/>
        <v>0</v>
      </c>
      <c r="Q893" s="427">
        <f>SUM(E893:P893)</f>
        <v>0</v>
      </c>
    </row>
    <row r="894" spans="1:17" s="222" customFormat="1" x14ac:dyDescent="0.2">
      <c r="A894" s="259"/>
      <c r="D894" s="286"/>
      <c r="F894" s="288"/>
      <c r="G894" s="469"/>
      <c r="H894" s="288"/>
      <c r="I894" s="293"/>
      <c r="J894" s="288"/>
      <c r="K894" s="288"/>
      <c r="L894" s="288"/>
      <c r="M894" s="288"/>
      <c r="N894" s="288"/>
      <c r="O894" s="288"/>
      <c r="P894" s="288"/>
    </row>
    <row r="895" spans="1:17" s="222" customFormat="1" x14ac:dyDescent="0.2">
      <c r="A895" s="259">
        <f>A893+1</f>
        <v>6</v>
      </c>
      <c r="C895" s="222" t="s">
        <v>209</v>
      </c>
      <c r="D895" s="286"/>
      <c r="E895" s="514"/>
      <c r="F895" s="288"/>
      <c r="G895" s="469"/>
      <c r="H895" s="288"/>
      <c r="I895" s="293"/>
      <c r="J895" s="288"/>
      <c r="K895" s="288"/>
      <c r="L895" s="288"/>
      <c r="M895" s="288"/>
      <c r="N895" s="288"/>
      <c r="O895" s="288"/>
      <c r="P895" s="288"/>
    </row>
    <row r="896" spans="1:17" s="222" customFormat="1" x14ac:dyDescent="0.2">
      <c r="A896" s="259">
        <f>A895+1</f>
        <v>7</v>
      </c>
      <c r="C896" s="222" t="str">
        <f>'C'!B224</f>
        <v xml:space="preserve">    First 50 Mcf</v>
      </c>
      <c r="D896" s="512"/>
      <c r="E896" s="476">
        <f>'C'!D236</f>
        <v>472.7</v>
      </c>
      <c r="F896" s="476">
        <f>'C'!E236</f>
        <v>517.79999999999995</v>
      </c>
      <c r="G896" s="476">
        <f>'C'!F236</f>
        <v>508.5</v>
      </c>
      <c r="H896" s="476">
        <f>'C'!G236</f>
        <v>429.7</v>
      </c>
      <c r="I896" s="476">
        <f>'C'!H236</f>
        <v>346.2</v>
      </c>
      <c r="J896" s="476">
        <f>'C'!I236</f>
        <v>313.10000000000002</v>
      </c>
      <c r="K896" s="476">
        <f>'C'!J236</f>
        <v>310.60000000000002</v>
      </c>
      <c r="L896" s="476">
        <f>'C'!K236</f>
        <v>295.60000000000002</v>
      </c>
      <c r="M896" s="476">
        <f>'C'!L236</f>
        <v>279.2</v>
      </c>
      <c r="N896" s="476">
        <f>'C'!M236</f>
        <v>420.4</v>
      </c>
      <c r="O896" s="476">
        <f>'C'!N236</f>
        <v>426.1</v>
      </c>
      <c r="P896" s="476">
        <f>'C'!O236</f>
        <v>467.9</v>
      </c>
      <c r="Q896" s="476">
        <f>SUM(E896:P896)</f>
        <v>4787.7999999999993</v>
      </c>
    </row>
    <row r="897" spans="1:17" s="222" customFormat="1" x14ac:dyDescent="0.2">
      <c r="A897" s="259">
        <f>A896+1</f>
        <v>8</v>
      </c>
      <c r="C897" s="222" t="str">
        <f>'C'!B225</f>
        <v xml:space="preserve">    Next 350 Mcf</v>
      </c>
      <c r="D897" s="512"/>
      <c r="E897" s="476">
        <f>'C'!D237</f>
        <v>2210.1999999999998</v>
      </c>
      <c r="F897" s="476">
        <f>'C'!E237</f>
        <v>2239.1</v>
      </c>
      <c r="G897" s="476">
        <f>'C'!F237</f>
        <v>2090.1999999999998</v>
      </c>
      <c r="H897" s="476">
        <f>'C'!G237</f>
        <v>1600.8</v>
      </c>
      <c r="I897" s="476">
        <f>'C'!H237</f>
        <v>1646.5</v>
      </c>
      <c r="J897" s="476">
        <f>'C'!I237</f>
        <v>1359.8</v>
      </c>
      <c r="K897" s="476">
        <f>'C'!J237</f>
        <v>1359.2</v>
      </c>
      <c r="L897" s="476">
        <f>'C'!K237</f>
        <v>1380.5</v>
      </c>
      <c r="M897" s="476">
        <f>'C'!L237</f>
        <v>1335.8</v>
      </c>
      <c r="N897" s="476">
        <f>'C'!M237</f>
        <v>1812.9</v>
      </c>
      <c r="O897" s="476">
        <f>'C'!N237</f>
        <v>2003.7</v>
      </c>
      <c r="P897" s="476">
        <f>'C'!O237</f>
        <v>2070.3000000000002</v>
      </c>
      <c r="Q897" s="476">
        <f>SUM(E897:P897)</f>
        <v>21109</v>
      </c>
    </row>
    <row r="898" spans="1:17" s="222" customFormat="1" x14ac:dyDescent="0.2">
      <c r="A898" s="259">
        <f>A897+1</f>
        <v>9</v>
      </c>
      <c r="C898" s="222" t="str">
        <f>'C'!B226</f>
        <v xml:space="preserve">    Next 600 Mcf</v>
      </c>
      <c r="D898" s="512"/>
      <c r="E898" s="476">
        <f>'C'!D238</f>
        <v>2400</v>
      </c>
      <c r="F898" s="476">
        <f>'C'!E238</f>
        <v>2344.6999999999998</v>
      </c>
      <c r="G898" s="476">
        <f>'C'!F238</f>
        <v>2065.1</v>
      </c>
      <c r="H898" s="476">
        <f>'C'!G238</f>
        <v>1901.5</v>
      </c>
      <c r="I898" s="293">
        <f>'C'!H238</f>
        <v>1446.5</v>
      </c>
      <c r="J898" s="293">
        <f>'C'!I238</f>
        <v>1488.2</v>
      </c>
      <c r="K898" s="293">
        <f>'C'!J238</f>
        <v>1395.6</v>
      </c>
      <c r="L898" s="293">
        <f>'C'!K238</f>
        <v>1201</v>
      </c>
      <c r="M898" s="293">
        <f>'C'!L238</f>
        <v>1365.8</v>
      </c>
      <c r="N898" s="476">
        <f>'C'!M238</f>
        <v>1413.9</v>
      </c>
      <c r="O898" s="476">
        <f>'C'!N238</f>
        <v>1953.8</v>
      </c>
      <c r="P898" s="476">
        <f>'C'!O238</f>
        <v>1933.6</v>
      </c>
      <c r="Q898" s="476">
        <f>SUM(E898:P898)</f>
        <v>20909.699999999997</v>
      </c>
    </row>
    <row r="899" spans="1:17" s="222" customFormat="1" x14ac:dyDescent="0.2">
      <c r="A899" s="259">
        <f>A898+1</f>
        <v>10</v>
      </c>
      <c r="C899" s="222" t="str">
        <f>'C'!B227</f>
        <v xml:space="preserve">    Over 1,000 Mcf</v>
      </c>
      <c r="D899" s="529"/>
      <c r="E899" s="515">
        <f>'C'!D239</f>
        <v>917.2</v>
      </c>
      <c r="F899" s="515">
        <f>'C'!E239</f>
        <v>898.3</v>
      </c>
      <c r="G899" s="515">
        <f>'C'!F239</f>
        <v>1336.1</v>
      </c>
      <c r="H899" s="515">
        <f>'C'!G239</f>
        <v>2067.9</v>
      </c>
      <c r="I899" s="515">
        <f>'C'!H239</f>
        <v>2560.8000000000002</v>
      </c>
      <c r="J899" s="515">
        <f>'C'!I239</f>
        <v>2839</v>
      </c>
      <c r="K899" s="515">
        <f>'C'!J239</f>
        <v>2934.5</v>
      </c>
      <c r="L899" s="515">
        <f>'C'!K239</f>
        <v>3122.9</v>
      </c>
      <c r="M899" s="515">
        <f>'C'!L239</f>
        <v>3019.2</v>
      </c>
      <c r="N899" s="515">
        <f>'C'!M239</f>
        <v>2352.9</v>
      </c>
      <c r="O899" s="515">
        <f>'C'!N239</f>
        <v>1616.4</v>
      </c>
      <c r="P899" s="515">
        <f>'C'!O239</f>
        <v>1528.2</v>
      </c>
      <c r="Q899" s="515">
        <f>SUM(E899:P899)</f>
        <v>25193.400000000005</v>
      </c>
    </row>
    <row r="900" spans="1:17" s="222" customFormat="1" x14ac:dyDescent="0.2">
      <c r="A900" s="259"/>
      <c r="D900" s="529"/>
      <c r="E900" s="476">
        <f t="shared" ref="E900:P900" si="279">SUM(E896:E899)</f>
        <v>6000.0999999999995</v>
      </c>
      <c r="F900" s="476">
        <f t="shared" si="279"/>
        <v>5999.9</v>
      </c>
      <c r="G900" s="476">
        <f t="shared" si="279"/>
        <v>5999.9</v>
      </c>
      <c r="H900" s="476">
        <f t="shared" si="279"/>
        <v>5999.9</v>
      </c>
      <c r="I900" s="476">
        <f t="shared" si="279"/>
        <v>6000</v>
      </c>
      <c r="J900" s="476">
        <f t="shared" si="279"/>
        <v>6000.1</v>
      </c>
      <c r="K900" s="476">
        <f t="shared" si="279"/>
        <v>5999.9</v>
      </c>
      <c r="L900" s="476">
        <f t="shared" si="279"/>
        <v>6000</v>
      </c>
      <c r="M900" s="476">
        <f t="shared" si="279"/>
        <v>6000</v>
      </c>
      <c r="N900" s="476">
        <f t="shared" si="279"/>
        <v>6000.1</v>
      </c>
      <c r="O900" s="476">
        <f t="shared" si="279"/>
        <v>6000</v>
      </c>
      <c r="P900" s="476">
        <f t="shared" si="279"/>
        <v>6000</v>
      </c>
      <c r="Q900" s="476">
        <f>SUM(E900:P900)</f>
        <v>71999.899999999994</v>
      </c>
    </row>
    <row r="901" spans="1:17" s="222" customFormat="1" x14ac:dyDescent="0.2">
      <c r="A901" s="259">
        <f>A899+1</f>
        <v>11</v>
      </c>
      <c r="C901" s="222" t="s">
        <v>207</v>
      </c>
      <c r="D901" s="529"/>
      <c r="F901" s="288"/>
      <c r="G901" s="469"/>
      <c r="H901" s="288"/>
      <c r="I901" s="293"/>
      <c r="J901" s="288"/>
      <c r="K901" s="288"/>
      <c r="L901" s="288"/>
      <c r="M901" s="288"/>
      <c r="N901" s="288"/>
      <c r="O901" s="288"/>
      <c r="P901" s="288"/>
      <c r="Q901" s="536"/>
    </row>
    <row r="902" spans="1:17" s="222" customFormat="1" x14ac:dyDescent="0.2">
      <c r="A902" s="259">
        <f>A901+1</f>
        <v>12</v>
      </c>
      <c r="C902" s="222" t="str">
        <f>C896</f>
        <v xml:space="preserve">    First 50 Mcf</v>
      </c>
      <c r="D902" s="782">
        <f>Input!P43</f>
        <v>3.0331999999999999</v>
      </c>
      <c r="E902" s="427">
        <f t="shared" ref="E902:P902" si="280">ROUND(E896*$D$902,2)</f>
        <v>1433.79</v>
      </c>
      <c r="F902" s="427">
        <f t="shared" si="280"/>
        <v>1570.59</v>
      </c>
      <c r="G902" s="427">
        <f t="shared" si="280"/>
        <v>1542.38</v>
      </c>
      <c r="H902" s="427">
        <f t="shared" si="280"/>
        <v>1303.3699999999999</v>
      </c>
      <c r="I902" s="427">
        <f t="shared" si="280"/>
        <v>1050.0899999999999</v>
      </c>
      <c r="J902" s="427">
        <f t="shared" si="280"/>
        <v>949.69</v>
      </c>
      <c r="K902" s="427">
        <f t="shared" si="280"/>
        <v>942.11</v>
      </c>
      <c r="L902" s="427">
        <f t="shared" si="280"/>
        <v>896.61</v>
      </c>
      <c r="M902" s="427">
        <f t="shared" si="280"/>
        <v>846.87</v>
      </c>
      <c r="N902" s="427">
        <f t="shared" si="280"/>
        <v>1275.1600000000001</v>
      </c>
      <c r="O902" s="427">
        <f t="shared" si="280"/>
        <v>1292.45</v>
      </c>
      <c r="P902" s="427">
        <f t="shared" si="280"/>
        <v>1419.23</v>
      </c>
      <c r="Q902" s="427">
        <f>SUM(E902:P902)</f>
        <v>14522.340000000002</v>
      </c>
    </row>
    <row r="903" spans="1:17" s="222" customFormat="1" x14ac:dyDescent="0.2">
      <c r="A903" s="259">
        <f>A902+1</f>
        <v>13</v>
      </c>
      <c r="C903" s="222" t="str">
        <f>C897</f>
        <v xml:space="preserve">    Next 350 Mcf</v>
      </c>
      <c r="D903" s="782">
        <f>Input!Q43</f>
        <v>2.3445999999999998</v>
      </c>
      <c r="E903" s="472">
        <f t="shared" ref="E903:P903" si="281">ROUND(E897*$D$903,2)</f>
        <v>5182.03</v>
      </c>
      <c r="F903" s="472">
        <f t="shared" si="281"/>
        <v>5249.79</v>
      </c>
      <c r="G903" s="472">
        <f t="shared" si="281"/>
        <v>4900.68</v>
      </c>
      <c r="H903" s="472">
        <f t="shared" si="281"/>
        <v>3753.24</v>
      </c>
      <c r="I903" s="472">
        <f t="shared" si="281"/>
        <v>3860.38</v>
      </c>
      <c r="J903" s="472">
        <f t="shared" si="281"/>
        <v>3188.19</v>
      </c>
      <c r="K903" s="472">
        <f t="shared" si="281"/>
        <v>3186.78</v>
      </c>
      <c r="L903" s="472">
        <f t="shared" si="281"/>
        <v>3236.72</v>
      </c>
      <c r="M903" s="472">
        <f t="shared" si="281"/>
        <v>3131.92</v>
      </c>
      <c r="N903" s="472">
        <f t="shared" si="281"/>
        <v>4250.53</v>
      </c>
      <c r="O903" s="472">
        <f t="shared" si="281"/>
        <v>4697.88</v>
      </c>
      <c r="P903" s="472">
        <f t="shared" si="281"/>
        <v>4854.03</v>
      </c>
      <c r="Q903" s="472">
        <f>SUM(E903:P903)</f>
        <v>49492.169999999991</v>
      </c>
    </row>
    <row r="904" spans="1:17" s="222" customFormat="1" x14ac:dyDescent="0.2">
      <c r="A904" s="259">
        <f>A903+1</f>
        <v>14</v>
      </c>
      <c r="C904" s="222" t="str">
        <f>C898</f>
        <v xml:space="preserve">    Next 600 Mcf</v>
      </c>
      <c r="D904" s="782">
        <f>Input!R43</f>
        <v>2.2294</v>
      </c>
      <c r="E904" s="472">
        <f t="shared" ref="E904:O904" si="282">ROUND(E898*$D$904,2)</f>
        <v>5350.56</v>
      </c>
      <c r="F904" s="472">
        <f t="shared" si="282"/>
        <v>5227.2700000000004</v>
      </c>
      <c r="G904" s="472">
        <f t="shared" si="282"/>
        <v>4603.93</v>
      </c>
      <c r="H904" s="472">
        <f t="shared" si="282"/>
        <v>4239.2</v>
      </c>
      <c r="I904" s="528">
        <f t="shared" si="282"/>
        <v>3224.83</v>
      </c>
      <c r="J904" s="528">
        <f t="shared" si="282"/>
        <v>3317.79</v>
      </c>
      <c r="K904" s="528">
        <f t="shared" si="282"/>
        <v>3111.35</v>
      </c>
      <c r="L904" s="528">
        <f t="shared" si="282"/>
        <v>2677.51</v>
      </c>
      <c r="M904" s="528">
        <f t="shared" si="282"/>
        <v>3044.91</v>
      </c>
      <c r="N904" s="472">
        <f t="shared" si="282"/>
        <v>3152.15</v>
      </c>
      <c r="O904" s="472">
        <f t="shared" si="282"/>
        <v>4355.8</v>
      </c>
      <c r="P904" s="472">
        <f>ROUND(P898*$D$904,2)</f>
        <v>4310.7700000000004</v>
      </c>
      <c r="Q904" s="472">
        <f>SUM(E904:P904)</f>
        <v>46616.070000000007</v>
      </c>
    </row>
    <row r="905" spans="1:17" s="222" customFormat="1" x14ac:dyDescent="0.2">
      <c r="A905" s="259">
        <f>A904+1</f>
        <v>15</v>
      </c>
      <c r="C905" s="222" t="str">
        <f>C899</f>
        <v xml:space="preserve">    Over 1,000 Mcf</v>
      </c>
      <c r="D905" s="782">
        <f>Input!S43</f>
        <v>2.0294000000000003</v>
      </c>
      <c r="E905" s="521">
        <f t="shared" ref="E905:O905" si="283">ROUND(E899*$D$905,2)</f>
        <v>1861.37</v>
      </c>
      <c r="F905" s="521">
        <f t="shared" si="283"/>
        <v>1823.01</v>
      </c>
      <c r="G905" s="521">
        <f t="shared" si="283"/>
        <v>2711.48</v>
      </c>
      <c r="H905" s="521">
        <f t="shared" si="283"/>
        <v>4196.6000000000004</v>
      </c>
      <c r="I905" s="521">
        <f t="shared" si="283"/>
        <v>5196.8900000000003</v>
      </c>
      <c r="J905" s="521">
        <f t="shared" si="283"/>
        <v>5761.47</v>
      </c>
      <c r="K905" s="521">
        <f t="shared" si="283"/>
        <v>5955.27</v>
      </c>
      <c r="L905" s="521">
        <f t="shared" si="283"/>
        <v>6337.61</v>
      </c>
      <c r="M905" s="521">
        <f t="shared" si="283"/>
        <v>6127.16</v>
      </c>
      <c r="N905" s="521">
        <f t="shared" si="283"/>
        <v>4774.9799999999996</v>
      </c>
      <c r="O905" s="521">
        <f t="shared" si="283"/>
        <v>3280.32</v>
      </c>
      <c r="P905" s="521">
        <f>ROUND(P899*$D$905,2)</f>
        <v>3101.33</v>
      </c>
      <c r="Q905" s="521">
        <f>SUM(E905:P905)</f>
        <v>51127.49</v>
      </c>
    </row>
    <row r="906" spans="1:17" s="222" customFormat="1" x14ac:dyDescent="0.2">
      <c r="A906" s="259"/>
      <c r="D906" s="286"/>
      <c r="E906" s="427">
        <f t="shared" ref="E906:P906" si="284">SUM(E902:E905)</f>
        <v>13827.75</v>
      </c>
      <c r="F906" s="427">
        <f t="shared" si="284"/>
        <v>13870.660000000002</v>
      </c>
      <c r="G906" s="427">
        <f t="shared" si="284"/>
        <v>13758.470000000001</v>
      </c>
      <c r="H906" s="427">
        <f t="shared" si="284"/>
        <v>13492.41</v>
      </c>
      <c r="I906" s="427">
        <f t="shared" si="284"/>
        <v>13332.19</v>
      </c>
      <c r="J906" s="427">
        <f t="shared" si="284"/>
        <v>13217.14</v>
      </c>
      <c r="K906" s="427">
        <f t="shared" si="284"/>
        <v>13195.51</v>
      </c>
      <c r="L906" s="427">
        <f t="shared" si="284"/>
        <v>13148.45</v>
      </c>
      <c r="M906" s="427">
        <f t="shared" si="284"/>
        <v>13150.86</v>
      </c>
      <c r="N906" s="427">
        <f t="shared" si="284"/>
        <v>13452.82</v>
      </c>
      <c r="O906" s="427">
        <f t="shared" si="284"/>
        <v>13626.45</v>
      </c>
      <c r="P906" s="427">
        <f t="shared" si="284"/>
        <v>13685.36</v>
      </c>
      <c r="Q906" s="427">
        <f>SUM(E906:P906)</f>
        <v>161758.07</v>
      </c>
    </row>
    <row r="907" spans="1:17" s="222" customFormat="1" x14ac:dyDescent="0.2">
      <c r="A907" s="259"/>
      <c r="D907" s="286"/>
      <c r="E907" s="288"/>
      <c r="F907" s="288"/>
      <c r="G907" s="288"/>
      <c r="H907" s="288"/>
      <c r="I907" s="288"/>
      <c r="J907" s="288"/>
      <c r="K907" s="288"/>
      <c r="L907" s="288"/>
      <c r="M907" s="288"/>
      <c r="N907" s="288"/>
      <c r="O907" s="288"/>
      <c r="P907" s="288"/>
      <c r="Q907" s="288"/>
    </row>
    <row r="908" spans="1:17" s="222" customFormat="1" x14ac:dyDescent="0.2">
      <c r="A908" s="259">
        <f>A905+1</f>
        <v>16</v>
      </c>
      <c r="C908" s="222" t="s">
        <v>204</v>
      </c>
      <c r="D908" s="286"/>
      <c r="E908" s="482">
        <f t="shared" ref="E908:P908" si="285">E892+E893+E906</f>
        <v>14408.72</v>
      </c>
      <c r="F908" s="482">
        <f t="shared" si="285"/>
        <v>14451.630000000001</v>
      </c>
      <c r="G908" s="482">
        <f t="shared" si="285"/>
        <v>14294.750000000002</v>
      </c>
      <c r="H908" s="482">
        <f t="shared" si="285"/>
        <v>14073.38</v>
      </c>
      <c r="I908" s="482">
        <f t="shared" si="285"/>
        <v>13868.470000000001</v>
      </c>
      <c r="J908" s="482">
        <f t="shared" si="285"/>
        <v>13753.42</v>
      </c>
      <c r="K908" s="482">
        <f t="shared" si="285"/>
        <v>13731.79</v>
      </c>
      <c r="L908" s="482">
        <f t="shared" si="285"/>
        <v>13684.730000000001</v>
      </c>
      <c r="M908" s="482">
        <f t="shared" si="285"/>
        <v>13687.140000000001</v>
      </c>
      <c r="N908" s="482">
        <f t="shared" si="285"/>
        <v>13989.1</v>
      </c>
      <c r="O908" s="482">
        <f t="shared" si="285"/>
        <v>14207.42</v>
      </c>
      <c r="P908" s="482">
        <f t="shared" si="285"/>
        <v>14266.33</v>
      </c>
      <c r="Q908" s="482">
        <f>SUM(E908:P908)</f>
        <v>168416.88</v>
      </c>
    </row>
    <row r="909" spans="1:17" s="222" customFormat="1" x14ac:dyDescent="0.2">
      <c r="A909" s="259"/>
      <c r="E909" s="482"/>
      <c r="F909" s="482"/>
      <c r="G909" s="482"/>
      <c r="H909" s="482"/>
      <c r="I909" s="482"/>
      <c r="J909" s="482"/>
      <c r="K909" s="482"/>
      <c r="L909" s="482"/>
      <c r="M909" s="482"/>
      <c r="N909" s="482"/>
      <c r="O909" s="482"/>
      <c r="P909" s="482"/>
      <c r="Q909" s="482"/>
    </row>
    <row r="910" spans="1:17" s="222" customFormat="1" x14ac:dyDescent="0.2">
      <c r="A910" s="259">
        <f>A908+1</f>
        <v>17</v>
      </c>
      <c r="C910" s="222" t="s">
        <v>151</v>
      </c>
      <c r="D910" s="783">
        <v>0</v>
      </c>
      <c r="E910" s="510">
        <v>0</v>
      </c>
      <c r="F910" s="510">
        <v>0</v>
      </c>
      <c r="G910" s="510">
        <v>0</v>
      </c>
      <c r="H910" s="510">
        <v>0</v>
      </c>
      <c r="I910" s="510">
        <v>0</v>
      </c>
      <c r="J910" s="510">
        <v>0</v>
      </c>
      <c r="K910" s="510">
        <v>0</v>
      </c>
      <c r="L910" s="510">
        <v>0</v>
      </c>
      <c r="M910" s="510">
        <v>0</v>
      </c>
      <c r="N910" s="510">
        <v>0</v>
      </c>
      <c r="O910" s="510">
        <v>0</v>
      </c>
      <c r="P910" s="510">
        <v>0</v>
      </c>
      <c r="Q910" s="427">
        <f>SUM(E910:P910)</f>
        <v>0</v>
      </c>
    </row>
    <row r="911" spans="1:17" s="222" customFormat="1" x14ac:dyDescent="0.2">
      <c r="A911" s="259"/>
      <c r="D911" s="286"/>
      <c r="F911" s="288"/>
      <c r="G911" s="469"/>
      <c r="H911" s="288"/>
      <c r="I911" s="293"/>
      <c r="J911" s="288"/>
      <c r="K911" s="288"/>
      <c r="L911" s="288"/>
      <c r="M911" s="288"/>
      <c r="N911" s="288"/>
      <c r="O911" s="288"/>
      <c r="P911" s="288"/>
      <c r="Q911" s="469"/>
    </row>
    <row r="912" spans="1:17" s="222" customFormat="1" ht="10.8" thickBot="1" x14ac:dyDescent="0.25">
      <c r="A912" s="717">
        <f>A910+1</f>
        <v>18</v>
      </c>
      <c r="B912" s="489"/>
      <c r="C912" s="718" t="s">
        <v>205</v>
      </c>
      <c r="D912" s="719"/>
      <c r="E912" s="492">
        <f t="shared" ref="E912:P912" si="286">E908+E910</f>
        <v>14408.72</v>
      </c>
      <c r="F912" s="492">
        <f t="shared" si="286"/>
        <v>14451.630000000001</v>
      </c>
      <c r="G912" s="492">
        <f t="shared" si="286"/>
        <v>14294.750000000002</v>
      </c>
      <c r="H912" s="492">
        <f t="shared" si="286"/>
        <v>14073.38</v>
      </c>
      <c r="I912" s="492">
        <f t="shared" si="286"/>
        <v>13868.470000000001</v>
      </c>
      <c r="J912" s="492">
        <f t="shared" si="286"/>
        <v>13753.42</v>
      </c>
      <c r="K912" s="492">
        <f t="shared" si="286"/>
        <v>13731.79</v>
      </c>
      <c r="L912" s="492">
        <f t="shared" si="286"/>
        <v>13684.730000000001</v>
      </c>
      <c r="M912" s="492">
        <f t="shared" si="286"/>
        <v>13687.140000000001</v>
      </c>
      <c r="N912" s="492">
        <f t="shared" si="286"/>
        <v>13989.1</v>
      </c>
      <c r="O912" s="492">
        <f t="shared" si="286"/>
        <v>14207.42</v>
      </c>
      <c r="P912" s="492">
        <f t="shared" si="286"/>
        <v>14266.33</v>
      </c>
      <c r="Q912" s="492">
        <f>SUM(E912:P912)</f>
        <v>168416.88</v>
      </c>
    </row>
    <row r="913" spans="1:17" s="222" customFormat="1" ht="10.8" thickTop="1" x14ac:dyDescent="0.2">
      <c r="A913" s="259"/>
      <c r="D913" s="286"/>
      <c r="F913" s="288"/>
      <c r="G913" s="469"/>
      <c r="H913" s="288"/>
      <c r="I913" s="293"/>
      <c r="J913" s="288"/>
      <c r="K913" s="288"/>
      <c r="L913" s="288"/>
      <c r="M913" s="288"/>
      <c r="N913" s="288"/>
      <c r="O913" s="288"/>
      <c r="P913" s="288"/>
      <c r="Q913" s="469"/>
    </row>
    <row r="914" spans="1:17" s="222" customFormat="1" x14ac:dyDescent="0.2">
      <c r="A914" s="259"/>
      <c r="D914" s="286"/>
      <c r="F914" s="288"/>
      <c r="G914" s="469"/>
      <c r="H914" s="288"/>
      <c r="I914" s="293"/>
      <c r="J914" s="288"/>
      <c r="K914" s="288"/>
      <c r="L914" s="288"/>
      <c r="M914" s="288"/>
      <c r="N914" s="288"/>
      <c r="O914" s="288"/>
      <c r="P914" s="288"/>
    </row>
    <row r="915" spans="1:17" s="222" customFormat="1" x14ac:dyDescent="0.2">
      <c r="A915" s="622" t="str">
        <f>$A$265</f>
        <v>[1] Reflects Normalized Volumes.</v>
      </c>
      <c r="D915" s="286"/>
      <c r="F915" s="288"/>
      <c r="G915" s="469"/>
      <c r="H915" s="288"/>
      <c r="I915" s="293"/>
      <c r="J915" s="288"/>
      <c r="K915" s="288"/>
      <c r="L915" s="288"/>
      <c r="M915" s="288"/>
      <c r="N915" s="288"/>
      <c r="O915" s="288"/>
      <c r="P915" s="288"/>
    </row>
    <row r="916" spans="1:17" s="222" customFormat="1" x14ac:dyDescent="0.2">
      <c r="A916" s="995" t="str">
        <f>CONAME</f>
        <v>Columbia Gas of Kentucky, Inc.</v>
      </c>
      <c r="B916" s="995"/>
      <c r="C916" s="995"/>
      <c r="D916" s="995"/>
      <c r="E916" s="995"/>
      <c r="F916" s="995"/>
      <c r="G916" s="995"/>
      <c r="H916" s="995"/>
      <c r="I916" s="995"/>
      <c r="J916" s="995"/>
      <c r="K916" s="995"/>
      <c r="L916" s="995"/>
      <c r="M916" s="995"/>
      <c r="N916" s="995"/>
      <c r="O916" s="995"/>
      <c r="P916" s="995"/>
      <c r="Q916" s="995"/>
    </row>
    <row r="917" spans="1:17" s="222" customFormat="1" x14ac:dyDescent="0.2">
      <c r="A917" s="978" t="str">
        <f>case</f>
        <v>Case No. 2016-00162</v>
      </c>
      <c r="B917" s="978"/>
      <c r="C917" s="978"/>
      <c r="D917" s="978"/>
      <c r="E917" s="978"/>
      <c r="F917" s="978"/>
      <c r="G917" s="978"/>
      <c r="H917" s="978"/>
      <c r="I917" s="978"/>
      <c r="J917" s="978"/>
      <c r="K917" s="978"/>
      <c r="L917" s="978"/>
      <c r="M917" s="978"/>
      <c r="N917" s="978"/>
      <c r="O917" s="978"/>
      <c r="P917" s="978"/>
      <c r="Q917" s="978"/>
    </row>
    <row r="918" spans="1:17" s="222" customFormat="1" x14ac:dyDescent="0.2">
      <c r="A918" s="996" t="s">
        <v>200</v>
      </c>
      <c r="B918" s="996"/>
      <c r="C918" s="996"/>
      <c r="D918" s="996"/>
      <c r="E918" s="996"/>
      <c r="F918" s="996"/>
      <c r="G918" s="996"/>
      <c r="H918" s="996"/>
      <c r="I918" s="996"/>
      <c r="J918" s="996"/>
      <c r="K918" s="996"/>
      <c r="L918" s="996"/>
      <c r="M918" s="996"/>
      <c r="N918" s="996"/>
      <c r="O918" s="996"/>
      <c r="P918" s="996"/>
      <c r="Q918" s="996"/>
    </row>
    <row r="919" spans="1:17" s="222" customFormat="1" x14ac:dyDescent="0.2">
      <c r="A919" s="995" t="str">
        <f>TYDESC</f>
        <v>For the 12 Months Ended December 31, 2017</v>
      </c>
      <c r="B919" s="995"/>
      <c r="C919" s="995"/>
      <c r="D919" s="995"/>
      <c r="E919" s="995"/>
      <c r="F919" s="995"/>
      <c r="G919" s="995"/>
      <c r="H919" s="995"/>
      <c r="I919" s="995"/>
      <c r="J919" s="995"/>
      <c r="K919" s="995"/>
      <c r="L919" s="995"/>
      <c r="M919" s="995"/>
      <c r="N919" s="995"/>
      <c r="O919" s="995"/>
      <c r="P919" s="995"/>
      <c r="Q919" s="995"/>
    </row>
    <row r="920" spans="1:17" s="222" customFormat="1" x14ac:dyDescent="0.2">
      <c r="A920" s="997" t="s">
        <v>39</v>
      </c>
      <c r="B920" s="997"/>
      <c r="C920" s="997"/>
      <c r="D920" s="997"/>
      <c r="E920" s="997"/>
      <c r="F920" s="997"/>
      <c r="G920" s="997"/>
      <c r="H920" s="997"/>
      <c r="I920" s="997"/>
      <c r="J920" s="997"/>
      <c r="K920" s="997"/>
      <c r="L920" s="997"/>
      <c r="M920" s="997"/>
      <c r="N920" s="997"/>
      <c r="O920" s="997"/>
      <c r="P920" s="997"/>
      <c r="Q920" s="997"/>
    </row>
    <row r="921" spans="1:17" s="222" customFormat="1" x14ac:dyDescent="0.2">
      <c r="A921" s="711" t="str">
        <f>$A$52</f>
        <v>Data: __ Base Period _X_ Forecasted Period</v>
      </c>
      <c r="D921" s="286"/>
      <c r="F921" s="288"/>
      <c r="G921" s="469"/>
      <c r="H921" s="288"/>
      <c r="I921" s="293"/>
      <c r="J921" s="288"/>
      <c r="K921" s="288"/>
      <c r="L921" s="288"/>
      <c r="M921" s="288"/>
      <c r="N921" s="288"/>
      <c r="O921" s="288"/>
      <c r="P921" s="288"/>
    </row>
    <row r="922" spans="1:17" s="222" customFormat="1" x14ac:dyDescent="0.2">
      <c r="A922" s="711" t="str">
        <f>$A$53</f>
        <v>Type of Filing: X Original _ Update _ Revised</v>
      </c>
      <c r="D922" s="286"/>
      <c r="F922" s="288"/>
      <c r="G922" s="469"/>
      <c r="H922" s="288"/>
      <c r="I922" s="293"/>
      <c r="J922" s="288"/>
      <c r="K922" s="288"/>
      <c r="L922" s="288"/>
      <c r="M922" s="288"/>
      <c r="N922" s="288"/>
      <c r="O922" s="288"/>
      <c r="P922" s="288"/>
      <c r="Q922" s="720" t="str">
        <f>$Q$53</f>
        <v>Schedule M-2.3</v>
      </c>
    </row>
    <row r="923" spans="1:17" s="222" customFormat="1" x14ac:dyDescent="0.2">
      <c r="A923" s="711" t="str">
        <f>$A$54</f>
        <v>Work Paper Reference No(s):</v>
      </c>
      <c r="D923" s="286"/>
      <c r="F923" s="288"/>
      <c r="G923" s="469"/>
      <c r="H923" s="288"/>
      <c r="I923" s="293"/>
      <c r="J923" s="288"/>
      <c r="K923" s="288"/>
      <c r="L923" s="288"/>
      <c r="M923" s="288"/>
      <c r="N923" s="288"/>
      <c r="O923" s="288"/>
      <c r="P923" s="288"/>
      <c r="Q923" s="720" t="s">
        <v>510</v>
      </c>
    </row>
    <row r="924" spans="1:17" s="222" customFormat="1" x14ac:dyDescent="0.2">
      <c r="A924" s="712" t="str">
        <f>$A$55</f>
        <v>12 Months Forecasted</v>
      </c>
      <c r="D924" s="286"/>
      <c r="F924" s="288"/>
      <c r="G924" s="469"/>
      <c r="H924" s="288"/>
      <c r="I924" s="293"/>
      <c r="J924" s="288"/>
      <c r="K924" s="288"/>
      <c r="L924" s="288"/>
      <c r="M924" s="288"/>
      <c r="N924" s="288"/>
      <c r="O924" s="288"/>
      <c r="P924" s="288"/>
      <c r="Q924" s="720" t="str">
        <f>Witness</f>
        <v>Witness:  M. J. Bell</v>
      </c>
    </row>
    <row r="925" spans="1:17" s="222" customFormat="1" x14ac:dyDescent="0.2">
      <c r="A925" s="998" t="s">
        <v>293</v>
      </c>
      <c r="B925" s="998"/>
      <c r="C925" s="998"/>
      <c r="D925" s="998"/>
      <c r="E925" s="998"/>
      <c r="F925" s="998"/>
      <c r="G925" s="998"/>
      <c r="H925" s="998"/>
      <c r="I925" s="998"/>
      <c r="J925" s="998"/>
      <c r="K925" s="998"/>
      <c r="L925" s="998"/>
      <c r="M925" s="998"/>
      <c r="N925" s="998"/>
      <c r="O925" s="998"/>
      <c r="P925" s="998"/>
      <c r="Q925" s="998"/>
    </row>
    <row r="926" spans="1:17" s="222" customFormat="1" x14ac:dyDescent="0.2">
      <c r="A926" s="225"/>
      <c r="B926" s="302"/>
      <c r="C926" s="302"/>
      <c r="D926" s="304"/>
      <c r="E926" s="302"/>
      <c r="F926" s="495"/>
      <c r="G926" s="496"/>
      <c r="H926" s="495"/>
      <c r="I926" s="497"/>
      <c r="J926" s="495"/>
      <c r="K926" s="495"/>
      <c r="L926" s="495"/>
      <c r="M926" s="495"/>
      <c r="N926" s="495"/>
      <c r="O926" s="495"/>
      <c r="P926" s="495"/>
      <c r="Q926" s="302"/>
    </row>
    <row r="927" spans="1:17" s="222" customFormat="1" x14ac:dyDescent="0.2">
      <c r="A927" s="410" t="s">
        <v>1</v>
      </c>
      <c r="B927" s="410" t="s">
        <v>0</v>
      </c>
      <c r="C927" s="410" t="s">
        <v>41</v>
      </c>
      <c r="D927" s="416" t="s">
        <v>30</v>
      </c>
      <c r="E927" s="410"/>
      <c r="F927" s="722"/>
      <c r="G927" s="725"/>
      <c r="H927" s="722"/>
      <c r="I927" s="726"/>
      <c r="J927" s="722"/>
      <c r="K927" s="722"/>
      <c r="L927" s="722"/>
      <c r="M927" s="722"/>
      <c r="N927" s="722"/>
      <c r="O927" s="722"/>
      <c r="P927" s="722"/>
      <c r="Q927" s="230"/>
    </row>
    <row r="928" spans="1:17" s="222" customFormat="1" x14ac:dyDescent="0.2">
      <c r="A928" s="281" t="s">
        <v>3</v>
      </c>
      <c r="B928" s="281" t="s">
        <v>40</v>
      </c>
      <c r="C928" s="281" t="s">
        <v>4</v>
      </c>
      <c r="D928" s="420" t="s">
        <v>48</v>
      </c>
      <c r="E928" s="421" t="str">
        <f>B!$D$11</f>
        <v>Jan-17</v>
      </c>
      <c r="F928" s="421" t="str">
        <f>B!$E$11</f>
        <v>Feb-17</v>
      </c>
      <c r="G928" s="421" t="str">
        <f>B!$F$11</f>
        <v>Mar-17</v>
      </c>
      <c r="H928" s="421" t="str">
        <f>B!$G$11</f>
        <v>Apr-17</v>
      </c>
      <c r="I928" s="421" t="str">
        <f>B!$H$11</f>
        <v>May-17</v>
      </c>
      <c r="J928" s="421" t="str">
        <f>B!$I$11</f>
        <v>Jun-17</v>
      </c>
      <c r="K928" s="421" t="str">
        <f>B!$J$11</f>
        <v>Jul-17</v>
      </c>
      <c r="L928" s="421" t="str">
        <f>B!$K$11</f>
        <v>Aug-17</v>
      </c>
      <c r="M928" s="421" t="str">
        <f>B!$L$11</f>
        <v>Sep-17</v>
      </c>
      <c r="N928" s="421" t="str">
        <f>B!$M$11</f>
        <v>Oct-17</v>
      </c>
      <c r="O928" s="421" t="str">
        <f>B!$N$11</f>
        <v>Nov-17</v>
      </c>
      <c r="P928" s="421" t="str">
        <f>B!$O$11</f>
        <v>Dec-17</v>
      </c>
      <c r="Q928" s="421" t="s">
        <v>9</v>
      </c>
    </row>
    <row r="929" spans="1:17" s="222" customFormat="1" x14ac:dyDescent="0.2">
      <c r="A929" s="410"/>
      <c r="B929" s="229" t="s">
        <v>42</v>
      </c>
      <c r="C929" s="229" t="s">
        <v>43</v>
      </c>
      <c r="D929" s="423" t="s">
        <v>45</v>
      </c>
      <c r="E929" s="424" t="s">
        <v>46</v>
      </c>
      <c r="F929" s="424" t="s">
        <v>49</v>
      </c>
      <c r="G929" s="424" t="s">
        <v>50</v>
      </c>
      <c r="H929" s="424" t="s">
        <v>51</v>
      </c>
      <c r="I929" s="424" t="s">
        <v>52</v>
      </c>
      <c r="J929" s="425" t="s">
        <v>53</v>
      </c>
      <c r="K929" s="425" t="s">
        <v>54</v>
      </c>
      <c r="L929" s="425" t="s">
        <v>55</v>
      </c>
      <c r="M929" s="425" t="s">
        <v>56</v>
      </c>
      <c r="N929" s="425" t="s">
        <v>57</v>
      </c>
      <c r="O929" s="425" t="s">
        <v>58</v>
      </c>
      <c r="P929" s="425" t="s">
        <v>59</v>
      </c>
      <c r="Q929" s="425" t="s">
        <v>203</v>
      </c>
    </row>
    <row r="930" spans="1:17" s="222" customFormat="1" x14ac:dyDescent="0.2">
      <c r="A930" s="259"/>
      <c r="D930" s="286"/>
      <c r="E930" s="230"/>
      <c r="F930" s="727"/>
      <c r="G930" s="723"/>
      <c r="H930" s="727"/>
      <c r="I930" s="724"/>
      <c r="J930" s="727"/>
      <c r="K930" s="727"/>
      <c r="L930" s="727"/>
      <c r="M930" s="727"/>
      <c r="N930" s="727"/>
      <c r="O930" s="727"/>
      <c r="P930" s="727"/>
      <c r="Q930" s="230"/>
    </row>
    <row r="931" spans="1:17" s="222" customFormat="1" x14ac:dyDescent="0.2">
      <c r="A931" s="259">
        <v>1</v>
      </c>
      <c r="B931" s="222" t="str">
        <f>B243</f>
        <v>DS</v>
      </c>
      <c r="C931" s="222" t="str">
        <f>C243</f>
        <v>GTS Delivery Service - Commercial</v>
      </c>
      <c r="D931" s="286"/>
      <c r="F931" s="288"/>
      <c r="G931" s="469"/>
      <c r="H931" s="288"/>
      <c r="I931" s="293"/>
      <c r="J931" s="288"/>
      <c r="K931" s="288"/>
      <c r="L931" s="288"/>
      <c r="M931" s="288"/>
      <c r="N931" s="288"/>
      <c r="O931" s="288"/>
      <c r="P931" s="288"/>
    </row>
    <row r="932" spans="1:17" s="222" customFormat="1" x14ac:dyDescent="0.2">
      <c r="A932" s="259"/>
      <c r="D932" s="286"/>
      <c r="F932" s="288"/>
      <c r="G932" s="469"/>
      <c r="H932" s="288"/>
      <c r="I932" s="293"/>
      <c r="J932" s="288"/>
      <c r="K932" s="288"/>
      <c r="L932" s="288"/>
      <c r="M932" s="288"/>
      <c r="N932" s="288"/>
      <c r="O932" s="288"/>
      <c r="P932" s="288"/>
    </row>
    <row r="933" spans="1:17" s="222" customFormat="1" x14ac:dyDescent="0.2">
      <c r="A933" s="259">
        <f>A931+1</f>
        <v>2</v>
      </c>
      <c r="C933" s="262" t="s">
        <v>111</v>
      </c>
      <c r="D933" s="286"/>
      <c r="F933" s="288"/>
      <c r="G933" s="469"/>
      <c r="H933" s="288"/>
      <c r="I933" s="293"/>
      <c r="J933" s="288"/>
      <c r="K933" s="288"/>
      <c r="L933" s="288"/>
      <c r="M933" s="288"/>
      <c r="N933" s="288"/>
      <c r="O933" s="288"/>
      <c r="P933" s="288"/>
    </row>
    <row r="934" spans="1:17" s="222" customFormat="1" x14ac:dyDescent="0.2">
      <c r="A934" s="259"/>
      <c r="C934" s="262"/>
      <c r="D934" s="286"/>
      <c r="F934" s="288"/>
      <c r="G934" s="469"/>
      <c r="H934" s="288"/>
      <c r="I934" s="293"/>
      <c r="J934" s="288"/>
      <c r="K934" s="288"/>
      <c r="L934" s="288"/>
      <c r="M934" s="288"/>
      <c r="N934" s="288"/>
      <c r="O934" s="288"/>
      <c r="P934" s="288"/>
    </row>
    <row r="935" spans="1:17" s="222" customFormat="1" x14ac:dyDescent="0.2">
      <c r="A935" s="259">
        <f>A933+1</f>
        <v>3</v>
      </c>
      <c r="C935" s="222" t="s">
        <v>202</v>
      </c>
      <c r="D935" s="286"/>
      <c r="E935" s="472">
        <f>B!D182</f>
        <v>41</v>
      </c>
      <c r="F935" s="472">
        <f>B!E182</f>
        <v>32</v>
      </c>
      <c r="G935" s="472">
        <f>B!F182</f>
        <v>32</v>
      </c>
      <c r="H935" s="472">
        <f>B!G182</f>
        <v>32</v>
      </c>
      <c r="I935" s="472">
        <f>B!H182</f>
        <v>32</v>
      </c>
      <c r="J935" s="472">
        <f>B!I182</f>
        <v>32</v>
      </c>
      <c r="K935" s="472">
        <f>B!J182</f>
        <v>34</v>
      </c>
      <c r="L935" s="472">
        <f>B!K182</f>
        <v>33</v>
      </c>
      <c r="M935" s="472">
        <f>B!L182</f>
        <v>33</v>
      </c>
      <c r="N935" s="472">
        <f>B!M182</f>
        <v>33</v>
      </c>
      <c r="O935" s="472">
        <f>B!N182</f>
        <v>34</v>
      </c>
      <c r="P935" s="472">
        <f>B!O182</f>
        <v>60</v>
      </c>
      <c r="Q935" s="472">
        <f>SUM(E935:P935)</f>
        <v>428</v>
      </c>
    </row>
    <row r="936" spans="1:17" s="222" customFormat="1" x14ac:dyDescent="0.2">
      <c r="A936" s="259">
        <f>A935+1</f>
        <v>4</v>
      </c>
      <c r="C936" s="222" t="s">
        <v>210</v>
      </c>
      <c r="D936" s="781">
        <f>Input!U44</f>
        <v>2007</v>
      </c>
      <c r="E936" s="427">
        <f t="shared" ref="E936:P936" si="287">ROUND(E935*$D$936,2)</f>
        <v>82287</v>
      </c>
      <c r="F936" s="427">
        <f t="shared" si="287"/>
        <v>64224</v>
      </c>
      <c r="G936" s="427">
        <f t="shared" si="287"/>
        <v>64224</v>
      </c>
      <c r="H936" s="427">
        <f t="shared" si="287"/>
        <v>64224</v>
      </c>
      <c r="I936" s="427">
        <f t="shared" si="287"/>
        <v>64224</v>
      </c>
      <c r="J936" s="427">
        <f t="shared" si="287"/>
        <v>64224</v>
      </c>
      <c r="K936" s="427">
        <f t="shared" si="287"/>
        <v>68238</v>
      </c>
      <c r="L936" s="427">
        <f t="shared" si="287"/>
        <v>66231</v>
      </c>
      <c r="M936" s="427">
        <f t="shared" si="287"/>
        <v>66231</v>
      </c>
      <c r="N936" s="427">
        <f t="shared" si="287"/>
        <v>66231</v>
      </c>
      <c r="O936" s="427">
        <f t="shared" si="287"/>
        <v>68238</v>
      </c>
      <c r="P936" s="427">
        <f t="shared" si="287"/>
        <v>120420</v>
      </c>
      <c r="Q936" s="427">
        <f>SUM(E936:P936)</f>
        <v>858996</v>
      </c>
    </row>
    <row r="937" spans="1:17" s="222" customFormat="1" x14ac:dyDescent="0.2">
      <c r="A937" s="259">
        <f>A936+1</f>
        <v>5</v>
      </c>
      <c r="C937" s="222" t="s">
        <v>217</v>
      </c>
      <c r="D937" s="781">
        <f>Input!V44</f>
        <v>0</v>
      </c>
      <c r="E937" s="427">
        <f t="shared" ref="E937:P937" si="288">ROUND(E935*$D$937,2)</f>
        <v>0</v>
      </c>
      <c r="F937" s="427">
        <f t="shared" si="288"/>
        <v>0</v>
      </c>
      <c r="G937" s="427">
        <f t="shared" si="288"/>
        <v>0</v>
      </c>
      <c r="H937" s="427">
        <f t="shared" si="288"/>
        <v>0</v>
      </c>
      <c r="I937" s="427">
        <f t="shared" si="288"/>
        <v>0</v>
      </c>
      <c r="J937" s="427">
        <f t="shared" si="288"/>
        <v>0</v>
      </c>
      <c r="K937" s="427">
        <f t="shared" si="288"/>
        <v>0</v>
      </c>
      <c r="L937" s="427">
        <f t="shared" si="288"/>
        <v>0</v>
      </c>
      <c r="M937" s="427">
        <f t="shared" si="288"/>
        <v>0</v>
      </c>
      <c r="N937" s="427">
        <f t="shared" si="288"/>
        <v>0</v>
      </c>
      <c r="O937" s="427">
        <f t="shared" si="288"/>
        <v>0</v>
      </c>
      <c r="P937" s="427">
        <f t="shared" si="288"/>
        <v>0</v>
      </c>
      <c r="Q937" s="427">
        <f>SUM(E937:P937)</f>
        <v>0</v>
      </c>
    </row>
    <row r="938" spans="1:17" s="222" customFormat="1" x14ac:dyDescent="0.2">
      <c r="A938" s="259">
        <f>A937+1</f>
        <v>6</v>
      </c>
      <c r="C938" s="222" t="s">
        <v>211</v>
      </c>
      <c r="D938" s="781">
        <f>Input!W44</f>
        <v>0</v>
      </c>
      <c r="E938" s="427">
        <f t="shared" ref="E938:P938" si="289">ROUND(E935*$D$938,2)</f>
        <v>0</v>
      </c>
      <c r="F938" s="427">
        <f t="shared" si="289"/>
        <v>0</v>
      </c>
      <c r="G938" s="427">
        <f t="shared" si="289"/>
        <v>0</v>
      </c>
      <c r="H938" s="427">
        <f t="shared" si="289"/>
        <v>0</v>
      </c>
      <c r="I938" s="427">
        <f t="shared" si="289"/>
        <v>0</v>
      </c>
      <c r="J938" s="427">
        <f t="shared" si="289"/>
        <v>0</v>
      </c>
      <c r="K938" s="427">
        <f t="shared" si="289"/>
        <v>0</v>
      </c>
      <c r="L938" s="427">
        <f t="shared" si="289"/>
        <v>0</v>
      </c>
      <c r="M938" s="427">
        <f t="shared" si="289"/>
        <v>0</v>
      </c>
      <c r="N938" s="427">
        <f t="shared" si="289"/>
        <v>0</v>
      </c>
      <c r="O938" s="427">
        <f t="shared" si="289"/>
        <v>0</v>
      </c>
      <c r="P938" s="427">
        <f t="shared" si="289"/>
        <v>0</v>
      </c>
      <c r="Q938" s="427">
        <f>SUM(E938:P938)</f>
        <v>0</v>
      </c>
    </row>
    <row r="939" spans="1:17" s="222" customFormat="1" x14ac:dyDescent="0.2">
      <c r="A939" s="259"/>
      <c r="D939" s="286"/>
      <c r="F939" s="288"/>
      <c r="G939" s="469"/>
      <c r="H939" s="288"/>
      <c r="I939" s="293"/>
      <c r="J939" s="288"/>
      <c r="K939" s="288"/>
      <c r="L939" s="288"/>
      <c r="M939" s="288"/>
      <c r="N939" s="288"/>
      <c r="O939" s="288"/>
      <c r="P939" s="288"/>
    </row>
    <row r="940" spans="1:17" s="222" customFormat="1" x14ac:dyDescent="0.2">
      <c r="A940" s="259">
        <f>A938+1</f>
        <v>7</v>
      </c>
      <c r="C940" s="222" t="s">
        <v>209</v>
      </c>
      <c r="D940" s="286"/>
      <c r="E940" s="514"/>
      <c r="F940" s="288"/>
      <c r="G940" s="469"/>
      <c r="H940" s="288"/>
      <c r="I940" s="293"/>
      <c r="J940" s="288"/>
      <c r="K940" s="288"/>
      <c r="L940" s="288"/>
      <c r="M940" s="288"/>
      <c r="N940" s="288"/>
      <c r="O940" s="288"/>
      <c r="P940" s="288"/>
    </row>
    <row r="941" spans="1:17" s="222" customFormat="1" x14ac:dyDescent="0.2">
      <c r="A941" s="259">
        <f>A940+1</f>
        <v>8</v>
      </c>
      <c r="C941" s="222" t="str">
        <f>'C'!B244</f>
        <v xml:space="preserve">    First 30,000 Mcf</v>
      </c>
      <c r="D941" s="286"/>
      <c r="E941" s="476">
        <f>'C'!D254</f>
        <v>188859</v>
      </c>
      <c r="F941" s="476">
        <f>'C'!E254</f>
        <v>169110.1</v>
      </c>
      <c r="G941" s="476">
        <f>'C'!F254</f>
        <v>147265.60000000001</v>
      </c>
      <c r="H941" s="476">
        <f>'C'!G254</f>
        <v>103565.2</v>
      </c>
      <c r="I941" s="476">
        <f>'C'!H254</f>
        <v>83423.100000000006</v>
      </c>
      <c r="J941" s="476">
        <f>'C'!I254</f>
        <v>69626.2</v>
      </c>
      <c r="K941" s="476">
        <f>'C'!J254</f>
        <v>68394.7</v>
      </c>
      <c r="L941" s="476">
        <f>'C'!K254</f>
        <v>69858.100000000006</v>
      </c>
      <c r="M941" s="476">
        <f>'C'!L254</f>
        <v>76451.3</v>
      </c>
      <c r="N941" s="476">
        <f>'C'!M254</f>
        <v>101603.3</v>
      </c>
      <c r="O941" s="476">
        <f>'C'!N254</f>
        <v>139898.5</v>
      </c>
      <c r="P941" s="476">
        <f>'C'!O254</f>
        <v>162514.9</v>
      </c>
      <c r="Q941" s="476">
        <f>SUM(E941:P941)</f>
        <v>1380569.9999999998</v>
      </c>
    </row>
    <row r="942" spans="1:17" s="222" customFormat="1" x14ac:dyDescent="0.2">
      <c r="A942" s="259">
        <f>A941+1</f>
        <v>9</v>
      </c>
      <c r="C942" s="222" t="str">
        <f>'C'!B245</f>
        <v xml:space="preserve">    Next 70,000 Mcf</v>
      </c>
      <c r="D942" s="286"/>
      <c r="E942" s="476">
        <f>'C'!D255</f>
        <v>0</v>
      </c>
      <c r="F942" s="476">
        <f>'C'!E255</f>
        <v>0</v>
      </c>
      <c r="G942" s="476">
        <f>'C'!F255</f>
        <v>0</v>
      </c>
      <c r="H942" s="476">
        <f>'C'!G255</f>
        <v>0</v>
      </c>
      <c r="I942" s="476">
        <f>'C'!H255</f>
        <v>0</v>
      </c>
      <c r="J942" s="476">
        <f>'C'!I255</f>
        <v>0</v>
      </c>
      <c r="K942" s="476">
        <f>'C'!J255</f>
        <v>0</v>
      </c>
      <c r="L942" s="476">
        <f>'C'!K255</f>
        <v>0</v>
      </c>
      <c r="M942" s="476">
        <f>'C'!L255</f>
        <v>0</v>
      </c>
      <c r="N942" s="476">
        <f>'C'!M255</f>
        <v>0</v>
      </c>
      <c r="O942" s="476">
        <f>'C'!N255</f>
        <v>0</v>
      </c>
      <c r="P942" s="476">
        <f>'C'!O255</f>
        <v>0</v>
      </c>
      <c r="Q942" s="476">
        <f>SUM(E942:P942)</f>
        <v>0</v>
      </c>
    </row>
    <row r="943" spans="1:17" s="222" customFormat="1" x14ac:dyDescent="0.2">
      <c r="A943" s="259">
        <f>A942+1</f>
        <v>10</v>
      </c>
      <c r="C943" s="222" t="str">
        <f>'C'!B246</f>
        <v xml:space="preserve">    Over 100,000 Mcf</v>
      </c>
      <c r="D943" s="512"/>
      <c r="E943" s="515">
        <f>'C'!D256</f>
        <v>0</v>
      </c>
      <c r="F943" s="515">
        <f>'C'!E256</f>
        <v>0</v>
      </c>
      <c r="G943" s="515">
        <f>'C'!F256</f>
        <v>0</v>
      </c>
      <c r="H943" s="515">
        <f>'C'!G256</f>
        <v>0</v>
      </c>
      <c r="I943" s="515">
        <f>'C'!H256</f>
        <v>0</v>
      </c>
      <c r="J943" s="515">
        <f>'C'!I256</f>
        <v>0</v>
      </c>
      <c r="K943" s="515">
        <f>'C'!J256</f>
        <v>0</v>
      </c>
      <c r="L943" s="515">
        <f>'C'!K256</f>
        <v>0</v>
      </c>
      <c r="M943" s="515">
        <f>'C'!L256</f>
        <v>0</v>
      </c>
      <c r="N943" s="515">
        <f>'C'!M256</f>
        <v>0</v>
      </c>
      <c r="O943" s="515">
        <f>'C'!N256</f>
        <v>0</v>
      </c>
      <c r="P943" s="515">
        <f>'C'!O256</f>
        <v>0</v>
      </c>
      <c r="Q943" s="515">
        <f>SUM(E943:P943)</f>
        <v>0</v>
      </c>
    </row>
    <row r="944" spans="1:17" s="222" customFormat="1" x14ac:dyDescent="0.2">
      <c r="A944" s="259"/>
      <c r="D944" s="512"/>
      <c r="E944" s="476">
        <f t="shared" ref="E944:P944" si="290">SUM(E939:E943)</f>
        <v>188859</v>
      </c>
      <c r="F944" s="476">
        <f t="shared" si="290"/>
        <v>169110.1</v>
      </c>
      <c r="G944" s="476">
        <f t="shared" si="290"/>
        <v>147265.60000000001</v>
      </c>
      <c r="H944" s="476">
        <f t="shared" si="290"/>
        <v>103565.2</v>
      </c>
      <c r="I944" s="476">
        <f t="shared" si="290"/>
        <v>83423.100000000006</v>
      </c>
      <c r="J944" s="476">
        <f t="shared" si="290"/>
        <v>69626.2</v>
      </c>
      <c r="K944" s="476">
        <f t="shared" si="290"/>
        <v>68394.7</v>
      </c>
      <c r="L944" s="476">
        <f t="shared" si="290"/>
        <v>69858.100000000006</v>
      </c>
      <c r="M944" s="476">
        <f t="shared" si="290"/>
        <v>76451.3</v>
      </c>
      <c r="N944" s="476">
        <f t="shared" si="290"/>
        <v>101603.3</v>
      </c>
      <c r="O944" s="476">
        <f t="shared" si="290"/>
        <v>139898.5</v>
      </c>
      <c r="P944" s="476">
        <f t="shared" si="290"/>
        <v>162514.9</v>
      </c>
      <c r="Q944" s="476">
        <f>SUM(E944:P944)</f>
        <v>1380569.9999999998</v>
      </c>
    </row>
    <row r="945" spans="1:17" s="222" customFormat="1" x14ac:dyDescent="0.2">
      <c r="A945" s="259">
        <f>A943+1</f>
        <v>11</v>
      </c>
      <c r="C945" s="222" t="s">
        <v>207</v>
      </c>
      <c r="D945" s="512"/>
      <c r="F945" s="495"/>
      <c r="G945" s="469"/>
      <c r="H945" s="495"/>
      <c r="I945" s="497"/>
      <c r="J945" s="530"/>
      <c r="K945" s="495"/>
      <c r="L945" s="495"/>
      <c r="M945" s="495"/>
      <c r="N945" s="495"/>
      <c r="O945" s="495"/>
      <c r="P945" s="495"/>
      <c r="Q945" s="469"/>
    </row>
    <row r="946" spans="1:17" s="222" customFormat="1" x14ac:dyDescent="0.2">
      <c r="A946" s="259">
        <f>A945+1</f>
        <v>12</v>
      </c>
      <c r="C946" s="222" t="str">
        <f>C941</f>
        <v xml:space="preserve">    First 30,000 Mcf</v>
      </c>
      <c r="D946" s="782">
        <f>Input!P44</f>
        <v>0.6321</v>
      </c>
      <c r="E946" s="427">
        <f t="shared" ref="E946:P946" si="291">ROUND(E941*$D$946,2)</f>
        <v>119377.77</v>
      </c>
      <c r="F946" s="427">
        <f t="shared" si="291"/>
        <v>106894.49</v>
      </c>
      <c r="G946" s="427">
        <f t="shared" si="291"/>
        <v>93086.59</v>
      </c>
      <c r="H946" s="427">
        <f t="shared" si="291"/>
        <v>65463.56</v>
      </c>
      <c r="I946" s="427">
        <f t="shared" si="291"/>
        <v>52731.74</v>
      </c>
      <c r="J946" s="427">
        <f t="shared" si="291"/>
        <v>44010.720000000001</v>
      </c>
      <c r="K946" s="427">
        <f t="shared" si="291"/>
        <v>43232.29</v>
      </c>
      <c r="L946" s="427">
        <f t="shared" si="291"/>
        <v>44157.31</v>
      </c>
      <c r="M946" s="427">
        <f t="shared" si="291"/>
        <v>48324.87</v>
      </c>
      <c r="N946" s="427">
        <f t="shared" si="291"/>
        <v>64223.45</v>
      </c>
      <c r="O946" s="427">
        <f t="shared" si="291"/>
        <v>88429.84</v>
      </c>
      <c r="P946" s="427">
        <f t="shared" si="291"/>
        <v>102725.67</v>
      </c>
      <c r="Q946" s="427">
        <f>SUM(E946:P946)</f>
        <v>872658.29999999993</v>
      </c>
    </row>
    <row r="947" spans="1:17" s="222" customFormat="1" x14ac:dyDescent="0.2">
      <c r="A947" s="259">
        <f>A946+1</f>
        <v>13</v>
      </c>
      <c r="C947" s="222" t="str">
        <f>C942</f>
        <v xml:space="preserve">    Next 70,000 Mcf</v>
      </c>
      <c r="D947" s="782">
        <f>Input!Q44</f>
        <v>0.37730000000000002</v>
      </c>
      <c r="E947" s="893">
        <f>ROUND(E942*$D$947,2)</f>
        <v>0</v>
      </c>
      <c r="F947" s="893">
        <f t="shared" ref="F947:P947" si="292">ROUND(F942*$D$947,2)</f>
        <v>0</v>
      </c>
      <c r="G947" s="893">
        <f t="shared" si="292"/>
        <v>0</v>
      </c>
      <c r="H947" s="893">
        <f t="shared" si="292"/>
        <v>0</v>
      </c>
      <c r="I947" s="893">
        <f t="shared" si="292"/>
        <v>0</v>
      </c>
      <c r="J947" s="893">
        <f t="shared" si="292"/>
        <v>0</v>
      </c>
      <c r="K947" s="893">
        <f t="shared" si="292"/>
        <v>0</v>
      </c>
      <c r="L947" s="893">
        <f t="shared" si="292"/>
        <v>0</v>
      </c>
      <c r="M947" s="893">
        <f t="shared" si="292"/>
        <v>0</v>
      </c>
      <c r="N947" s="893">
        <f t="shared" si="292"/>
        <v>0</v>
      </c>
      <c r="O947" s="893">
        <f t="shared" si="292"/>
        <v>0</v>
      </c>
      <c r="P947" s="893">
        <f t="shared" si="292"/>
        <v>0</v>
      </c>
      <c r="Q947" s="893">
        <f>SUM(E947:P947)</f>
        <v>0</v>
      </c>
    </row>
    <row r="948" spans="1:17" s="222" customFormat="1" x14ac:dyDescent="0.2">
      <c r="A948" s="259">
        <f>A947+1</f>
        <v>14</v>
      </c>
      <c r="C948" s="222" t="str">
        <f>C943</f>
        <v xml:space="preserve">    Over 100,000 Mcf</v>
      </c>
      <c r="D948" s="782">
        <f>Input!R44</f>
        <v>0.32829999999999998</v>
      </c>
      <c r="E948" s="273">
        <f t="shared" ref="E948:P948" si="293">ROUND(E943*$D$948,2)</f>
        <v>0</v>
      </c>
      <c r="F948" s="273">
        <f t="shared" si="293"/>
        <v>0</v>
      </c>
      <c r="G948" s="273">
        <f t="shared" si="293"/>
        <v>0</v>
      </c>
      <c r="H948" s="273">
        <f t="shared" si="293"/>
        <v>0</v>
      </c>
      <c r="I948" s="273">
        <f t="shared" si="293"/>
        <v>0</v>
      </c>
      <c r="J948" s="273">
        <f t="shared" si="293"/>
        <v>0</v>
      </c>
      <c r="K948" s="273">
        <f t="shared" si="293"/>
        <v>0</v>
      </c>
      <c r="L948" s="273">
        <f t="shared" si="293"/>
        <v>0</v>
      </c>
      <c r="M948" s="273">
        <f t="shared" si="293"/>
        <v>0</v>
      </c>
      <c r="N948" s="273">
        <f t="shared" si="293"/>
        <v>0</v>
      </c>
      <c r="O948" s="273">
        <f t="shared" si="293"/>
        <v>0</v>
      </c>
      <c r="P948" s="273">
        <f t="shared" si="293"/>
        <v>0</v>
      </c>
      <c r="Q948" s="273">
        <f>SUM(E948:P948)</f>
        <v>0</v>
      </c>
    </row>
    <row r="949" spans="1:17" s="222" customFormat="1" x14ac:dyDescent="0.2">
      <c r="A949" s="259"/>
      <c r="D949" s="512"/>
      <c r="E949" s="427">
        <f t="shared" ref="E949:P949" si="294">SUM(E946:E948)</f>
        <v>119377.77</v>
      </c>
      <c r="F949" s="427">
        <f t="shared" si="294"/>
        <v>106894.49</v>
      </c>
      <c r="G949" s="427">
        <f t="shared" si="294"/>
        <v>93086.59</v>
      </c>
      <c r="H949" s="427">
        <f t="shared" si="294"/>
        <v>65463.56</v>
      </c>
      <c r="I949" s="427">
        <f t="shared" si="294"/>
        <v>52731.74</v>
      </c>
      <c r="J949" s="427">
        <f t="shared" si="294"/>
        <v>44010.720000000001</v>
      </c>
      <c r="K949" s="427">
        <f t="shared" si="294"/>
        <v>43232.29</v>
      </c>
      <c r="L949" s="427">
        <f t="shared" si="294"/>
        <v>44157.31</v>
      </c>
      <c r="M949" s="427">
        <f t="shared" si="294"/>
        <v>48324.87</v>
      </c>
      <c r="N949" s="427">
        <f t="shared" si="294"/>
        <v>64223.45</v>
      </c>
      <c r="O949" s="427">
        <f t="shared" si="294"/>
        <v>88429.84</v>
      </c>
      <c r="P949" s="427">
        <f t="shared" si="294"/>
        <v>102725.67</v>
      </c>
      <c r="Q949" s="427">
        <f>SUM(E949:P949)</f>
        <v>872658.29999999993</v>
      </c>
    </row>
    <row r="950" spans="1:17" s="222" customFormat="1" x14ac:dyDescent="0.2">
      <c r="A950" s="259"/>
      <c r="D950" s="512"/>
      <c r="F950" s="495"/>
      <c r="G950" s="469"/>
      <c r="H950" s="495"/>
      <c r="I950" s="497"/>
      <c r="J950" s="530"/>
      <c r="K950" s="495"/>
      <c r="L950" s="495"/>
      <c r="M950" s="495"/>
      <c r="N950" s="495"/>
      <c r="O950" s="495"/>
      <c r="P950" s="495"/>
      <c r="Q950" s="469"/>
    </row>
    <row r="951" spans="1:17" s="222" customFormat="1" x14ac:dyDescent="0.2">
      <c r="A951" s="259">
        <f>A948+1</f>
        <v>15</v>
      </c>
      <c r="C951" s="222" t="s">
        <v>204</v>
      </c>
      <c r="D951" s="512"/>
      <c r="E951" s="427">
        <f t="shared" ref="E951:P951" si="295">E936+E937+E938+E949</f>
        <v>201664.77000000002</v>
      </c>
      <c r="F951" s="427">
        <f t="shared" si="295"/>
        <v>171118.49</v>
      </c>
      <c r="G951" s="427">
        <f t="shared" si="295"/>
        <v>157310.59</v>
      </c>
      <c r="H951" s="427">
        <f t="shared" si="295"/>
        <v>129687.56</v>
      </c>
      <c r="I951" s="427">
        <f t="shared" si="295"/>
        <v>116955.73999999999</v>
      </c>
      <c r="J951" s="427">
        <f t="shared" si="295"/>
        <v>108234.72</v>
      </c>
      <c r="K951" s="427">
        <f t="shared" si="295"/>
        <v>111470.29000000001</v>
      </c>
      <c r="L951" s="427">
        <f t="shared" si="295"/>
        <v>110388.31</v>
      </c>
      <c r="M951" s="427">
        <f t="shared" si="295"/>
        <v>114555.87</v>
      </c>
      <c r="N951" s="427">
        <f t="shared" si="295"/>
        <v>130454.45</v>
      </c>
      <c r="O951" s="427">
        <f t="shared" si="295"/>
        <v>156667.84</v>
      </c>
      <c r="P951" s="427">
        <f t="shared" si="295"/>
        <v>223145.66999999998</v>
      </c>
      <c r="Q951" s="427">
        <f>SUM(E951:P951)</f>
        <v>1731654.2999999998</v>
      </c>
    </row>
    <row r="952" spans="1:17" s="222" customFormat="1" x14ac:dyDescent="0.2">
      <c r="A952" s="259"/>
      <c r="D952" s="512"/>
      <c r="E952" s="737"/>
      <c r="F952" s="737"/>
      <c r="G952" s="737"/>
      <c r="H952" s="737"/>
      <c r="I952" s="737"/>
      <c r="J952" s="737"/>
      <c r="K952" s="737"/>
      <c r="L952" s="737"/>
      <c r="M952" s="737"/>
      <c r="N952" s="737"/>
      <c r="O952" s="737"/>
      <c r="P952" s="737"/>
      <c r="Q952" s="738"/>
    </row>
    <row r="953" spans="1:17" s="222" customFormat="1" x14ac:dyDescent="0.2">
      <c r="A953" s="259">
        <f>A951+1</f>
        <v>16</v>
      </c>
      <c r="C953" s="222" t="s">
        <v>151</v>
      </c>
      <c r="D953" s="783">
        <v>0</v>
      </c>
      <c r="E953" s="510">
        <v>0</v>
      </c>
      <c r="F953" s="510">
        <v>0</v>
      </c>
      <c r="G953" s="510">
        <v>0</v>
      </c>
      <c r="H953" s="510">
        <v>0</v>
      </c>
      <c r="I953" s="510">
        <v>0</v>
      </c>
      <c r="J953" s="510">
        <v>0</v>
      </c>
      <c r="K953" s="510">
        <v>0</v>
      </c>
      <c r="L953" s="510">
        <v>0</v>
      </c>
      <c r="M953" s="510">
        <v>0</v>
      </c>
      <c r="N953" s="510">
        <v>0</v>
      </c>
      <c r="O953" s="510">
        <v>0</v>
      </c>
      <c r="P953" s="510">
        <v>0</v>
      </c>
      <c r="Q953" s="427">
        <f>SUM(E953:P953)</f>
        <v>0</v>
      </c>
    </row>
    <row r="954" spans="1:17" s="222" customFormat="1" x14ac:dyDescent="0.2">
      <c r="A954" s="259"/>
      <c r="D954" s="512"/>
      <c r="F954" s="535"/>
      <c r="G954" s="536"/>
      <c r="H954" s="535"/>
      <c r="I954" s="515"/>
      <c r="J954" s="537"/>
      <c r="K954" s="535"/>
      <c r="L954" s="535"/>
      <c r="M954" s="535"/>
      <c r="N954" s="535"/>
      <c r="O954" s="535"/>
      <c r="P954" s="535"/>
      <c r="Q954" s="469"/>
    </row>
    <row r="955" spans="1:17" s="222" customFormat="1" ht="10.8" thickBot="1" x14ac:dyDescent="0.25">
      <c r="A955" s="717">
        <f>A953+1</f>
        <v>17</v>
      </c>
      <c r="B955" s="489"/>
      <c r="C955" s="718" t="s">
        <v>205</v>
      </c>
      <c r="D955" s="719"/>
      <c r="E955" s="492">
        <f t="shared" ref="E955:P955" si="296">E951+E953</f>
        <v>201664.77000000002</v>
      </c>
      <c r="F955" s="492">
        <f t="shared" si="296"/>
        <v>171118.49</v>
      </c>
      <c r="G955" s="492">
        <f t="shared" si="296"/>
        <v>157310.59</v>
      </c>
      <c r="H955" s="492">
        <f t="shared" si="296"/>
        <v>129687.56</v>
      </c>
      <c r="I955" s="492">
        <f t="shared" si="296"/>
        <v>116955.73999999999</v>
      </c>
      <c r="J955" s="492">
        <f t="shared" si="296"/>
        <v>108234.72</v>
      </c>
      <c r="K955" s="492">
        <f t="shared" si="296"/>
        <v>111470.29000000001</v>
      </c>
      <c r="L955" s="492">
        <f t="shared" si="296"/>
        <v>110388.31</v>
      </c>
      <c r="M955" s="492">
        <f t="shared" si="296"/>
        <v>114555.87</v>
      </c>
      <c r="N955" s="492">
        <f t="shared" si="296"/>
        <v>130454.45</v>
      </c>
      <c r="O955" s="492">
        <f t="shared" si="296"/>
        <v>156667.84</v>
      </c>
      <c r="P955" s="492">
        <f t="shared" si="296"/>
        <v>223145.66999999998</v>
      </c>
      <c r="Q955" s="492">
        <f>SUM(E955:P955)</f>
        <v>1731654.2999999998</v>
      </c>
    </row>
    <row r="956" spans="1:17" s="222" customFormat="1" ht="10.8" thickTop="1" x14ac:dyDescent="0.2">
      <c r="A956" s="259"/>
      <c r="D956" s="286"/>
      <c r="F956" s="288"/>
      <c r="G956" s="469"/>
      <c r="H956" s="288"/>
      <c r="I956" s="293"/>
      <c r="J956" s="288"/>
      <c r="K956" s="288"/>
      <c r="L956" s="288"/>
      <c r="M956" s="288"/>
      <c r="N956" s="288"/>
      <c r="O956" s="288"/>
      <c r="P956" s="288"/>
    </row>
    <row r="957" spans="1:17" s="222" customFormat="1" x14ac:dyDescent="0.2">
      <c r="A957" s="259"/>
      <c r="D957" s="286"/>
      <c r="F957" s="288"/>
      <c r="G957" s="469"/>
      <c r="H957" s="288"/>
      <c r="I957" s="293"/>
      <c r="J957" s="288"/>
      <c r="K957" s="288"/>
      <c r="L957" s="288"/>
      <c r="M957" s="288"/>
      <c r="N957" s="288"/>
      <c r="O957" s="288"/>
      <c r="P957" s="288"/>
      <c r="Q957" s="469"/>
    </row>
    <row r="958" spans="1:17" s="222" customFormat="1" x14ac:dyDescent="0.2">
      <c r="A958" s="259">
        <f>A955+1</f>
        <v>18</v>
      </c>
      <c r="B958" s="222" t="str">
        <f>B250</f>
        <v>DS</v>
      </c>
      <c r="C958" s="222" t="str">
        <f>C250</f>
        <v>GTS Delivery Service - Industrial</v>
      </c>
      <c r="D958" s="286"/>
      <c r="F958" s="288"/>
      <c r="G958" s="469"/>
      <c r="H958" s="288"/>
      <c r="I958" s="293"/>
      <c r="J958" s="288"/>
      <c r="K958" s="288"/>
      <c r="L958" s="288"/>
      <c r="M958" s="288"/>
      <c r="N958" s="288"/>
      <c r="O958" s="288"/>
      <c r="P958" s="288"/>
    </row>
    <row r="959" spans="1:17" s="222" customFormat="1" x14ac:dyDescent="0.2">
      <c r="A959" s="259"/>
      <c r="D959" s="286"/>
      <c r="F959" s="288"/>
      <c r="G959" s="469"/>
      <c r="H959" s="288"/>
      <c r="I959" s="293"/>
      <c r="J959" s="288"/>
      <c r="K959" s="288"/>
      <c r="L959" s="288"/>
      <c r="M959" s="288"/>
      <c r="N959" s="288"/>
      <c r="O959" s="288"/>
      <c r="P959" s="288"/>
    </row>
    <row r="960" spans="1:17" s="222" customFormat="1" x14ac:dyDescent="0.2">
      <c r="A960" s="259">
        <f>A958+1</f>
        <v>19</v>
      </c>
      <c r="C960" s="262" t="s">
        <v>112</v>
      </c>
      <c r="D960" s="286"/>
      <c r="F960" s="288"/>
      <c r="G960" s="469"/>
      <c r="H960" s="288"/>
      <c r="I960" s="293"/>
      <c r="J960" s="288"/>
      <c r="K960" s="288"/>
      <c r="L960" s="288"/>
      <c r="M960" s="288"/>
      <c r="N960" s="288"/>
      <c r="O960" s="288"/>
      <c r="P960" s="288"/>
    </row>
    <row r="961" spans="1:17" s="222" customFormat="1" x14ac:dyDescent="0.2">
      <c r="A961" s="259"/>
      <c r="C961" s="262"/>
      <c r="D961" s="286"/>
      <c r="F961" s="288"/>
      <c r="G961" s="469"/>
      <c r="H961" s="288"/>
      <c r="I961" s="293"/>
      <c r="J961" s="288"/>
      <c r="K961" s="288"/>
      <c r="L961" s="288"/>
      <c r="M961" s="288"/>
      <c r="N961" s="288"/>
      <c r="O961" s="288"/>
      <c r="P961" s="288"/>
    </row>
    <row r="962" spans="1:17" s="222" customFormat="1" x14ac:dyDescent="0.2">
      <c r="A962" s="259">
        <f>A960+1</f>
        <v>20</v>
      </c>
      <c r="C962" s="222" t="s">
        <v>202</v>
      </c>
      <c r="D962" s="286"/>
      <c r="E962" s="472">
        <f>B!D188</f>
        <v>39</v>
      </c>
      <c r="F962" s="472">
        <f>B!E188</f>
        <v>39</v>
      </c>
      <c r="G962" s="472">
        <f>B!F188</f>
        <v>39</v>
      </c>
      <c r="H962" s="472">
        <f>B!G188</f>
        <v>39</v>
      </c>
      <c r="I962" s="472">
        <f>B!H188</f>
        <v>39</v>
      </c>
      <c r="J962" s="472">
        <f>B!I188</f>
        <v>39</v>
      </c>
      <c r="K962" s="472">
        <f>B!J188</f>
        <v>39</v>
      </c>
      <c r="L962" s="472">
        <f>B!K188</f>
        <v>39</v>
      </c>
      <c r="M962" s="472">
        <f>B!L188</f>
        <v>39</v>
      </c>
      <c r="N962" s="472">
        <f>B!M188</f>
        <v>39</v>
      </c>
      <c r="O962" s="472">
        <f>B!N188</f>
        <v>39</v>
      </c>
      <c r="P962" s="472">
        <f>B!O188</f>
        <v>39</v>
      </c>
      <c r="Q962" s="472">
        <f>SUM(E962:P962)</f>
        <v>468</v>
      </c>
    </row>
    <row r="963" spans="1:17" s="222" customFormat="1" x14ac:dyDescent="0.2">
      <c r="A963" s="259">
        <f>A962+1</f>
        <v>21</v>
      </c>
      <c r="C963" s="222" t="s">
        <v>210</v>
      </c>
      <c r="D963" s="781">
        <f>Input!U45</f>
        <v>2007</v>
      </c>
      <c r="E963" s="427">
        <f t="shared" ref="E963:P963" si="297">ROUND(E962*$D$963,2)</f>
        <v>78273</v>
      </c>
      <c r="F963" s="427">
        <f t="shared" si="297"/>
        <v>78273</v>
      </c>
      <c r="G963" s="427">
        <f t="shared" si="297"/>
        <v>78273</v>
      </c>
      <c r="H963" s="427">
        <f t="shared" si="297"/>
        <v>78273</v>
      </c>
      <c r="I963" s="427">
        <f t="shared" si="297"/>
        <v>78273</v>
      </c>
      <c r="J963" s="427">
        <f t="shared" si="297"/>
        <v>78273</v>
      </c>
      <c r="K963" s="427">
        <f t="shared" si="297"/>
        <v>78273</v>
      </c>
      <c r="L963" s="427">
        <f t="shared" si="297"/>
        <v>78273</v>
      </c>
      <c r="M963" s="427">
        <f t="shared" si="297"/>
        <v>78273</v>
      </c>
      <c r="N963" s="427">
        <f t="shared" si="297"/>
        <v>78273</v>
      </c>
      <c r="O963" s="427">
        <f t="shared" si="297"/>
        <v>78273</v>
      </c>
      <c r="P963" s="427">
        <f t="shared" si="297"/>
        <v>78273</v>
      </c>
      <c r="Q963" s="427">
        <f>SUM(E963:P963)</f>
        <v>939276</v>
      </c>
    </row>
    <row r="964" spans="1:17" s="222" customFormat="1" x14ac:dyDescent="0.2">
      <c r="A964" s="259">
        <f>A963+1</f>
        <v>22</v>
      </c>
      <c r="C964" s="222" t="s">
        <v>217</v>
      </c>
      <c r="D964" s="781">
        <f>Input!V45</f>
        <v>0</v>
      </c>
      <c r="E964" s="427">
        <f t="shared" ref="E964:P964" si="298">ROUND(E962*$D$964,2)</f>
        <v>0</v>
      </c>
      <c r="F964" s="427">
        <f t="shared" si="298"/>
        <v>0</v>
      </c>
      <c r="G964" s="427">
        <f t="shared" si="298"/>
        <v>0</v>
      </c>
      <c r="H964" s="427">
        <f t="shared" si="298"/>
        <v>0</v>
      </c>
      <c r="I964" s="427">
        <f t="shared" si="298"/>
        <v>0</v>
      </c>
      <c r="J964" s="427">
        <f t="shared" si="298"/>
        <v>0</v>
      </c>
      <c r="K964" s="427">
        <f t="shared" si="298"/>
        <v>0</v>
      </c>
      <c r="L964" s="427">
        <f t="shared" si="298"/>
        <v>0</v>
      </c>
      <c r="M964" s="427">
        <f t="shared" si="298"/>
        <v>0</v>
      </c>
      <c r="N964" s="427">
        <f t="shared" si="298"/>
        <v>0</v>
      </c>
      <c r="O964" s="427">
        <f t="shared" si="298"/>
        <v>0</v>
      </c>
      <c r="P964" s="427">
        <f t="shared" si="298"/>
        <v>0</v>
      </c>
      <c r="Q964" s="427">
        <f>SUM(E964:P964)</f>
        <v>0</v>
      </c>
    </row>
    <row r="965" spans="1:17" s="222" customFormat="1" x14ac:dyDescent="0.2">
      <c r="A965" s="259">
        <f>A964+1</f>
        <v>23</v>
      </c>
      <c r="C965" s="222" t="s">
        <v>211</v>
      </c>
      <c r="D965" s="781">
        <f>Input!W45</f>
        <v>0</v>
      </c>
      <c r="E965" s="427">
        <f t="shared" ref="E965:P965" si="299">ROUND(E962*$D$965,2)</f>
        <v>0</v>
      </c>
      <c r="F965" s="427">
        <f t="shared" si="299"/>
        <v>0</v>
      </c>
      <c r="G965" s="427">
        <f t="shared" si="299"/>
        <v>0</v>
      </c>
      <c r="H965" s="427">
        <f t="shared" si="299"/>
        <v>0</v>
      </c>
      <c r="I965" s="427">
        <f t="shared" si="299"/>
        <v>0</v>
      </c>
      <c r="J965" s="427">
        <f t="shared" si="299"/>
        <v>0</v>
      </c>
      <c r="K965" s="427">
        <f t="shared" si="299"/>
        <v>0</v>
      </c>
      <c r="L965" s="427">
        <f t="shared" si="299"/>
        <v>0</v>
      </c>
      <c r="M965" s="427">
        <f t="shared" si="299"/>
        <v>0</v>
      </c>
      <c r="N965" s="427">
        <f t="shared" si="299"/>
        <v>0</v>
      </c>
      <c r="O965" s="427">
        <f t="shared" si="299"/>
        <v>0</v>
      </c>
      <c r="P965" s="427">
        <f t="shared" si="299"/>
        <v>0</v>
      </c>
      <c r="Q965" s="427">
        <f>SUM(E965:P965)</f>
        <v>0</v>
      </c>
    </row>
    <row r="966" spans="1:17" s="222" customFormat="1" x14ac:dyDescent="0.2">
      <c r="A966" s="259"/>
      <c r="D966" s="286"/>
      <c r="F966" s="288"/>
      <c r="G966" s="469"/>
      <c r="H966" s="288"/>
      <c r="I966" s="293"/>
      <c r="J966" s="288"/>
      <c r="K966" s="288"/>
      <c r="L966" s="288"/>
      <c r="M966" s="288"/>
      <c r="N966" s="288"/>
      <c r="O966" s="288"/>
      <c r="P966" s="288"/>
    </row>
    <row r="967" spans="1:17" s="222" customFormat="1" x14ac:dyDescent="0.2">
      <c r="A967" s="259">
        <f>A965+1</f>
        <v>24</v>
      </c>
      <c r="C967" s="222" t="s">
        <v>209</v>
      </c>
      <c r="D967" s="286"/>
      <c r="E967" s="514"/>
      <c r="F967" s="288"/>
      <c r="G967" s="469"/>
      <c r="H967" s="288"/>
      <c r="I967" s="293"/>
      <c r="J967" s="288"/>
      <c r="K967" s="288"/>
      <c r="L967" s="288"/>
      <c r="M967" s="288"/>
      <c r="N967" s="288"/>
      <c r="O967" s="288"/>
      <c r="P967" s="288"/>
    </row>
    <row r="968" spans="1:17" s="222" customFormat="1" x14ac:dyDescent="0.2">
      <c r="A968" s="259">
        <f>A967+1</f>
        <v>25</v>
      </c>
      <c r="C968" s="222" t="str">
        <f>'C'!B261</f>
        <v xml:space="preserve">    First 30,000 Mcf</v>
      </c>
      <c r="D968" s="286"/>
      <c r="E968" s="476">
        <f>'C'!D271</f>
        <v>362633.5</v>
      </c>
      <c r="F968" s="476">
        <f>'C'!E271</f>
        <v>336268.5</v>
      </c>
      <c r="G968" s="476">
        <f>'C'!F271</f>
        <v>309008.7</v>
      </c>
      <c r="H968" s="476">
        <f>'C'!G271</f>
        <v>289709.59999999998</v>
      </c>
      <c r="I968" s="476">
        <f>'C'!H271</f>
        <v>275128.8</v>
      </c>
      <c r="J968" s="476">
        <f>'C'!I271</f>
        <v>268134.09999999998</v>
      </c>
      <c r="K968" s="476">
        <f>'C'!J271</f>
        <v>242645.5</v>
      </c>
      <c r="L968" s="476">
        <f>'C'!K271</f>
        <v>267869.2</v>
      </c>
      <c r="M968" s="476">
        <f>'C'!L271</f>
        <v>280511.7</v>
      </c>
      <c r="N968" s="476">
        <f>'C'!M271</f>
        <v>309636.40000000002</v>
      </c>
      <c r="O968" s="476">
        <f>'C'!N271</f>
        <v>327494</v>
      </c>
      <c r="P968" s="476">
        <f>'C'!O271</f>
        <v>334941.40000000002</v>
      </c>
      <c r="Q968" s="476">
        <f>SUM(E968:P968)</f>
        <v>3603981.4</v>
      </c>
    </row>
    <row r="969" spans="1:17" s="222" customFormat="1" x14ac:dyDescent="0.2">
      <c r="A969" s="259">
        <f>A968+1</f>
        <v>26</v>
      </c>
      <c r="C969" s="222" t="str">
        <f>'C'!B262</f>
        <v xml:space="preserve">    Next 70,000 Mcf</v>
      </c>
      <c r="D969" s="286"/>
      <c r="E969" s="476">
        <f>'C'!D272</f>
        <v>157996</v>
      </c>
      <c r="F969" s="476">
        <f>'C'!E272</f>
        <v>151150</v>
      </c>
      <c r="G969" s="476">
        <f>'C'!F272</f>
        <v>145282</v>
      </c>
      <c r="H969" s="476">
        <f>'C'!G272</f>
        <v>110734</v>
      </c>
      <c r="I969" s="476">
        <f>'C'!H272</f>
        <v>93864</v>
      </c>
      <c r="J969" s="476">
        <f>'C'!I272</f>
        <v>71370</v>
      </c>
      <c r="K969" s="476">
        <f>'C'!J272</f>
        <v>52470</v>
      </c>
      <c r="L969" s="476">
        <f>'C'!K272</f>
        <v>74304</v>
      </c>
      <c r="M969" s="476">
        <f>'C'!L272</f>
        <v>81150</v>
      </c>
      <c r="N969" s="476">
        <f>'C'!M272</f>
        <v>118558</v>
      </c>
      <c r="O969" s="476">
        <f>'C'!N272</f>
        <v>143008</v>
      </c>
      <c r="P969" s="476">
        <f>'C'!O272</f>
        <v>147898</v>
      </c>
      <c r="Q969" s="476">
        <f>SUM(E969:P969)</f>
        <v>1347784</v>
      </c>
    </row>
    <row r="970" spans="1:17" s="222" customFormat="1" x14ac:dyDescent="0.2">
      <c r="A970" s="259">
        <f>A969+1</f>
        <v>27</v>
      </c>
      <c r="C970" s="222" t="str">
        <f>'C'!B263</f>
        <v xml:space="preserve">    Over 100,000 Mcf</v>
      </c>
      <c r="D970" s="512"/>
      <c r="E970" s="515">
        <f>'C'!D273</f>
        <v>154280</v>
      </c>
      <c r="F970" s="515">
        <f>'C'!E273</f>
        <v>115160</v>
      </c>
      <c r="G970" s="515">
        <f>'C'!F273</f>
        <v>71150</v>
      </c>
      <c r="H970" s="515">
        <f>'C'!G273</f>
        <v>27140</v>
      </c>
      <c r="I970" s="515">
        <f>'C'!H273</f>
        <v>0</v>
      </c>
      <c r="J970" s="515">
        <f>'C'!I273</f>
        <v>0</v>
      </c>
      <c r="K970" s="515">
        <f>'C'!J273</f>
        <v>0</v>
      </c>
      <c r="L970" s="515">
        <f>'C'!K273</f>
        <v>0</v>
      </c>
      <c r="M970" s="515">
        <f>'C'!L273</f>
        <v>0</v>
      </c>
      <c r="N970" s="515">
        <f>'C'!M273</f>
        <v>26162</v>
      </c>
      <c r="O970" s="515">
        <f>'C'!N273</f>
        <v>80930</v>
      </c>
      <c r="P970" s="515">
        <f>'C'!O273</f>
        <v>90710</v>
      </c>
      <c r="Q970" s="515">
        <f>SUM(E970:P970)</f>
        <v>565532</v>
      </c>
    </row>
    <row r="971" spans="1:17" s="222" customFormat="1" x14ac:dyDescent="0.2">
      <c r="A971" s="259"/>
      <c r="D971" s="512"/>
      <c r="E971" s="476">
        <f>SUM(E968:E970)</f>
        <v>674909.5</v>
      </c>
      <c r="F971" s="476">
        <f t="shared" ref="F971:P971" si="300">SUM(F968:F970)</f>
        <v>602578.5</v>
      </c>
      <c r="G971" s="476">
        <f t="shared" si="300"/>
        <v>525440.69999999995</v>
      </c>
      <c r="H971" s="476">
        <f t="shared" si="300"/>
        <v>427583.6</v>
      </c>
      <c r="I971" s="476">
        <f t="shared" si="300"/>
        <v>368992.8</v>
      </c>
      <c r="J971" s="476">
        <f t="shared" si="300"/>
        <v>339504.1</v>
      </c>
      <c r="K971" s="476">
        <f t="shared" si="300"/>
        <v>295115.5</v>
      </c>
      <c r="L971" s="476">
        <f t="shared" si="300"/>
        <v>342173.2</v>
      </c>
      <c r="M971" s="476">
        <f t="shared" si="300"/>
        <v>361661.7</v>
      </c>
      <c r="N971" s="476">
        <f t="shared" si="300"/>
        <v>454356.4</v>
      </c>
      <c r="O971" s="476">
        <f t="shared" si="300"/>
        <v>551432</v>
      </c>
      <c r="P971" s="476">
        <f t="shared" si="300"/>
        <v>573549.4</v>
      </c>
      <c r="Q971" s="476">
        <f>SUM(E971:P971)</f>
        <v>5517297.4000000004</v>
      </c>
    </row>
    <row r="972" spans="1:17" s="222" customFormat="1" x14ac:dyDescent="0.2">
      <c r="A972" s="259">
        <f>A970+1</f>
        <v>28</v>
      </c>
      <c r="C972" s="222" t="s">
        <v>207</v>
      </c>
      <c r="D972" s="512"/>
      <c r="F972" s="495"/>
      <c r="G972" s="469"/>
      <c r="H972" s="495"/>
      <c r="I972" s="497"/>
      <c r="J972" s="530"/>
      <c r="K972" s="495"/>
      <c r="L972" s="495"/>
      <c r="M972" s="495"/>
      <c r="N972" s="495"/>
      <c r="O972" s="495"/>
      <c r="P972" s="495"/>
      <c r="Q972" s="469"/>
    </row>
    <row r="973" spans="1:17" s="222" customFormat="1" x14ac:dyDescent="0.2">
      <c r="A973" s="259">
        <f>A972+1</f>
        <v>29</v>
      </c>
      <c r="C973" s="222" t="str">
        <f>C968</f>
        <v xml:space="preserve">    First 30,000 Mcf</v>
      </c>
      <c r="D973" s="782">
        <f>Input!P45</f>
        <v>0.6321</v>
      </c>
      <c r="E973" s="427">
        <f t="shared" ref="E973:P973" si="301">ROUND(E968*$D$973,2)</f>
        <v>229220.64</v>
      </c>
      <c r="F973" s="427">
        <f t="shared" si="301"/>
        <v>212555.32</v>
      </c>
      <c r="G973" s="427">
        <f t="shared" si="301"/>
        <v>195324.4</v>
      </c>
      <c r="H973" s="427">
        <f t="shared" si="301"/>
        <v>183125.44</v>
      </c>
      <c r="I973" s="427">
        <f t="shared" si="301"/>
        <v>173908.91</v>
      </c>
      <c r="J973" s="427">
        <f t="shared" si="301"/>
        <v>169487.56</v>
      </c>
      <c r="K973" s="427">
        <f t="shared" si="301"/>
        <v>153376.22</v>
      </c>
      <c r="L973" s="427">
        <f t="shared" si="301"/>
        <v>169320.12</v>
      </c>
      <c r="M973" s="427">
        <f t="shared" si="301"/>
        <v>177311.45</v>
      </c>
      <c r="N973" s="427">
        <f t="shared" si="301"/>
        <v>195721.17</v>
      </c>
      <c r="O973" s="427">
        <f t="shared" si="301"/>
        <v>207008.96</v>
      </c>
      <c r="P973" s="427">
        <f t="shared" si="301"/>
        <v>211716.46</v>
      </c>
      <c r="Q973" s="427">
        <f>SUM(E973:P973)</f>
        <v>2278076.65</v>
      </c>
    </row>
    <row r="974" spans="1:17" s="222" customFormat="1" x14ac:dyDescent="0.2">
      <c r="A974" s="259">
        <f>A973+1</f>
        <v>30</v>
      </c>
      <c r="C974" s="222" t="str">
        <f>C969</f>
        <v xml:space="preserve">    Next 70,000 Mcf</v>
      </c>
      <c r="D974" s="782">
        <f>Input!Q45</f>
        <v>0.37730000000000002</v>
      </c>
      <c r="E974" s="893">
        <f>ROUND(E969*$D$974,2)</f>
        <v>59611.89</v>
      </c>
      <c r="F974" s="893">
        <f t="shared" ref="F974:P974" si="302">ROUND(F969*$D$974,2)</f>
        <v>57028.9</v>
      </c>
      <c r="G974" s="893">
        <f t="shared" si="302"/>
        <v>54814.9</v>
      </c>
      <c r="H974" s="893">
        <f t="shared" si="302"/>
        <v>41779.94</v>
      </c>
      <c r="I974" s="893">
        <f t="shared" si="302"/>
        <v>35414.89</v>
      </c>
      <c r="J974" s="893">
        <f t="shared" si="302"/>
        <v>26927.9</v>
      </c>
      <c r="K974" s="893">
        <f t="shared" si="302"/>
        <v>19796.93</v>
      </c>
      <c r="L974" s="893">
        <f t="shared" si="302"/>
        <v>28034.9</v>
      </c>
      <c r="M974" s="893">
        <f t="shared" si="302"/>
        <v>30617.9</v>
      </c>
      <c r="N974" s="893">
        <f t="shared" si="302"/>
        <v>44731.93</v>
      </c>
      <c r="O974" s="893">
        <f t="shared" si="302"/>
        <v>53956.92</v>
      </c>
      <c r="P974" s="893">
        <f t="shared" si="302"/>
        <v>55801.919999999998</v>
      </c>
      <c r="Q974" s="893">
        <f>SUM(E974:P974)</f>
        <v>508518.92000000004</v>
      </c>
    </row>
    <row r="975" spans="1:17" s="222" customFormat="1" x14ac:dyDescent="0.2">
      <c r="A975" s="259">
        <f>A974+1</f>
        <v>31</v>
      </c>
      <c r="C975" s="222" t="str">
        <f>C970</f>
        <v xml:space="preserve">    Over 100,000 Mcf</v>
      </c>
      <c r="D975" s="782">
        <f>Input!R45</f>
        <v>0.32829999999999998</v>
      </c>
      <c r="E975" s="273">
        <f t="shared" ref="E975:P975" si="303">ROUND(E970*$D$975,2)</f>
        <v>50650.12</v>
      </c>
      <c r="F975" s="273">
        <f t="shared" si="303"/>
        <v>37807.03</v>
      </c>
      <c r="G975" s="273">
        <f t="shared" si="303"/>
        <v>23358.55</v>
      </c>
      <c r="H975" s="273">
        <f t="shared" si="303"/>
        <v>8910.06</v>
      </c>
      <c r="I975" s="273">
        <f t="shared" si="303"/>
        <v>0</v>
      </c>
      <c r="J975" s="273">
        <f t="shared" si="303"/>
        <v>0</v>
      </c>
      <c r="K975" s="273">
        <f t="shared" si="303"/>
        <v>0</v>
      </c>
      <c r="L975" s="273">
        <f t="shared" si="303"/>
        <v>0</v>
      </c>
      <c r="M975" s="273">
        <f t="shared" si="303"/>
        <v>0</v>
      </c>
      <c r="N975" s="273">
        <f t="shared" si="303"/>
        <v>8588.98</v>
      </c>
      <c r="O975" s="273">
        <f t="shared" si="303"/>
        <v>26569.32</v>
      </c>
      <c r="P975" s="273">
        <f t="shared" si="303"/>
        <v>29780.09</v>
      </c>
      <c r="Q975" s="273">
        <f>SUM(E975:P975)</f>
        <v>185664.15</v>
      </c>
    </row>
    <row r="976" spans="1:17" s="222" customFormat="1" x14ac:dyDescent="0.2">
      <c r="A976" s="259"/>
      <c r="D976" s="512"/>
      <c r="E976" s="427">
        <f t="shared" ref="E976:P976" si="304">SUM(E973:E975)</f>
        <v>339482.65</v>
      </c>
      <c r="F976" s="427">
        <f t="shared" si="304"/>
        <v>307391.25</v>
      </c>
      <c r="G976" s="427">
        <f t="shared" si="304"/>
        <v>273497.84999999998</v>
      </c>
      <c r="H976" s="427">
        <f t="shared" si="304"/>
        <v>233815.44</v>
      </c>
      <c r="I976" s="427">
        <f t="shared" si="304"/>
        <v>209323.8</v>
      </c>
      <c r="J976" s="427">
        <f t="shared" si="304"/>
        <v>196415.46</v>
      </c>
      <c r="K976" s="427">
        <f t="shared" si="304"/>
        <v>173173.15</v>
      </c>
      <c r="L976" s="427">
        <f t="shared" si="304"/>
        <v>197355.02</v>
      </c>
      <c r="M976" s="427">
        <f t="shared" si="304"/>
        <v>207929.35</v>
      </c>
      <c r="N976" s="427">
        <f t="shared" si="304"/>
        <v>249042.08000000002</v>
      </c>
      <c r="O976" s="427">
        <f t="shared" si="304"/>
        <v>287535.2</v>
      </c>
      <c r="P976" s="427">
        <f t="shared" si="304"/>
        <v>297298.47000000003</v>
      </c>
      <c r="Q976" s="427">
        <f>SUM(E976:P976)</f>
        <v>2972259.72</v>
      </c>
    </row>
    <row r="977" spans="1:17" s="222" customFormat="1" x14ac:dyDescent="0.2">
      <c r="A977" s="259"/>
      <c r="D977" s="512"/>
      <c r="F977" s="495"/>
      <c r="G977" s="469"/>
      <c r="H977" s="495"/>
      <c r="I977" s="497"/>
      <c r="J977" s="530"/>
      <c r="K977" s="495"/>
      <c r="L977" s="495"/>
      <c r="M977" s="495"/>
      <c r="N977" s="495"/>
      <c r="O977" s="495"/>
      <c r="P977" s="495"/>
      <c r="Q977" s="469"/>
    </row>
    <row r="978" spans="1:17" s="222" customFormat="1" x14ac:dyDescent="0.2">
      <c r="A978" s="259">
        <f>A975+1</f>
        <v>32</v>
      </c>
      <c r="C978" s="222" t="s">
        <v>204</v>
      </c>
      <c r="D978" s="512"/>
      <c r="E978" s="427">
        <f t="shared" ref="E978:P978" si="305">E963+E964+E965+E976</f>
        <v>417755.65</v>
      </c>
      <c r="F978" s="427">
        <f t="shared" si="305"/>
        <v>385664.25</v>
      </c>
      <c r="G978" s="427">
        <f t="shared" si="305"/>
        <v>351770.85</v>
      </c>
      <c r="H978" s="427">
        <f t="shared" si="305"/>
        <v>312088.44</v>
      </c>
      <c r="I978" s="427">
        <f t="shared" si="305"/>
        <v>287596.79999999999</v>
      </c>
      <c r="J978" s="427">
        <f t="shared" si="305"/>
        <v>274688.45999999996</v>
      </c>
      <c r="K978" s="427">
        <f t="shared" si="305"/>
        <v>251446.15</v>
      </c>
      <c r="L978" s="427">
        <f t="shared" si="305"/>
        <v>275628.02</v>
      </c>
      <c r="M978" s="427">
        <f t="shared" si="305"/>
        <v>286202.34999999998</v>
      </c>
      <c r="N978" s="427">
        <f t="shared" si="305"/>
        <v>327315.08</v>
      </c>
      <c r="O978" s="427">
        <f t="shared" si="305"/>
        <v>365808.2</v>
      </c>
      <c r="P978" s="427">
        <f t="shared" si="305"/>
        <v>375571.47000000003</v>
      </c>
      <c r="Q978" s="427">
        <f>SUM(E978:P978)</f>
        <v>3911535.7200000007</v>
      </c>
    </row>
    <row r="979" spans="1:17" s="222" customFormat="1" x14ac:dyDescent="0.2">
      <c r="A979" s="259"/>
      <c r="D979" s="512"/>
      <c r="F979" s="495"/>
      <c r="G979" s="469"/>
      <c r="H979" s="495"/>
      <c r="I979" s="497"/>
      <c r="J979" s="530"/>
      <c r="K979" s="495"/>
      <c r="L979" s="495"/>
      <c r="M979" s="495"/>
      <c r="N979" s="495"/>
      <c r="O979" s="495"/>
      <c r="P979" s="495"/>
      <c r="Q979" s="469"/>
    </row>
    <row r="980" spans="1:17" s="222" customFormat="1" x14ac:dyDescent="0.2">
      <c r="A980" s="259">
        <f>A978+1</f>
        <v>33</v>
      </c>
      <c r="C980" s="222" t="s">
        <v>151</v>
      </c>
      <c r="D980" s="783">
        <v>0</v>
      </c>
      <c r="E980" s="510">
        <v>0</v>
      </c>
      <c r="F980" s="510">
        <v>0</v>
      </c>
      <c r="G980" s="510">
        <v>0</v>
      </c>
      <c r="H980" s="510">
        <v>0</v>
      </c>
      <c r="I980" s="510">
        <v>0</v>
      </c>
      <c r="J980" s="510">
        <v>0</v>
      </c>
      <c r="K980" s="510">
        <v>0</v>
      </c>
      <c r="L980" s="510">
        <v>0</v>
      </c>
      <c r="M980" s="510">
        <v>0</v>
      </c>
      <c r="N980" s="510">
        <v>0</v>
      </c>
      <c r="O980" s="510">
        <v>0</v>
      </c>
      <c r="P980" s="510">
        <v>0</v>
      </c>
      <c r="Q980" s="427">
        <f>SUM(E980:P980)</f>
        <v>0</v>
      </c>
    </row>
    <row r="981" spans="1:17" s="222" customFormat="1" x14ac:dyDescent="0.2">
      <c r="A981" s="259"/>
      <c r="D981" s="512"/>
      <c r="F981" s="535"/>
      <c r="G981" s="536"/>
      <c r="H981" s="535"/>
      <c r="I981" s="515"/>
      <c r="J981" s="537"/>
      <c r="K981" s="535"/>
      <c r="L981" s="535"/>
      <c r="M981" s="535"/>
      <c r="N981" s="535"/>
      <c r="O981" s="535"/>
      <c r="P981" s="535"/>
      <c r="Q981" s="469"/>
    </row>
    <row r="982" spans="1:17" s="222" customFormat="1" ht="10.8" thickBot="1" x14ac:dyDescent="0.25">
      <c r="A982" s="717">
        <f>A980+1</f>
        <v>34</v>
      </c>
      <c r="B982" s="489"/>
      <c r="C982" s="718" t="s">
        <v>205</v>
      </c>
      <c r="D982" s="719"/>
      <c r="E982" s="492">
        <f t="shared" ref="E982:P982" si="306">E978+E980</f>
        <v>417755.65</v>
      </c>
      <c r="F982" s="492">
        <f t="shared" si="306"/>
        <v>385664.25</v>
      </c>
      <c r="G982" s="492">
        <f t="shared" si="306"/>
        <v>351770.85</v>
      </c>
      <c r="H982" s="492">
        <f t="shared" si="306"/>
        <v>312088.44</v>
      </c>
      <c r="I982" s="492">
        <f t="shared" si="306"/>
        <v>287596.79999999999</v>
      </c>
      <c r="J982" s="492">
        <f t="shared" si="306"/>
        <v>274688.45999999996</v>
      </c>
      <c r="K982" s="492">
        <f t="shared" si="306"/>
        <v>251446.15</v>
      </c>
      <c r="L982" s="492">
        <f t="shared" si="306"/>
        <v>275628.02</v>
      </c>
      <c r="M982" s="492">
        <f t="shared" si="306"/>
        <v>286202.34999999998</v>
      </c>
      <c r="N982" s="492">
        <f t="shared" si="306"/>
        <v>327315.08</v>
      </c>
      <c r="O982" s="492">
        <f t="shared" si="306"/>
        <v>365808.2</v>
      </c>
      <c r="P982" s="492">
        <f t="shared" si="306"/>
        <v>375571.47000000003</v>
      </c>
      <c r="Q982" s="492">
        <f>SUM(E982:P982)</f>
        <v>3911535.7200000007</v>
      </c>
    </row>
    <row r="983" spans="1:17" s="222" customFormat="1" ht="10.8" thickTop="1" x14ac:dyDescent="0.2">
      <c r="A983" s="259"/>
      <c r="D983" s="286"/>
      <c r="F983" s="288"/>
      <c r="G983" s="469"/>
      <c r="H983" s="288"/>
      <c r="I983" s="293"/>
      <c r="J983" s="288"/>
      <c r="K983" s="288"/>
      <c r="L983" s="288"/>
      <c r="M983" s="288"/>
      <c r="N983" s="288"/>
      <c r="O983" s="288"/>
      <c r="P983" s="288"/>
      <c r="Q983" s="536"/>
    </row>
    <row r="984" spans="1:17" s="222" customFormat="1" x14ac:dyDescent="0.2">
      <c r="A984" s="259"/>
      <c r="D984" s="286"/>
      <c r="F984" s="288"/>
      <c r="G984" s="469"/>
      <c r="H984" s="288"/>
      <c r="I984" s="293"/>
      <c r="J984" s="288"/>
      <c r="K984" s="288"/>
      <c r="L984" s="288"/>
      <c r="M984" s="288"/>
      <c r="N984" s="288"/>
      <c r="O984" s="288"/>
      <c r="P984" s="288"/>
      <c r="Q984" s="469"/>
    </row>
    <row r="985" spans="1:17" s="222" customFormat="1" x14ac:dyDescent="0.2">
      <c r="A985" s="622" t="str">
        <f>$A$265</f>
        <v>[1] Reflects Normalized Volumes.</v>
      </c>
      <c r="D985" s="286"/>
      <c r="F985" s="288"/>
      <c r="G985" s="469"/>
      <c r="H985" s="288"/>
      <c r="I985" s="293"/>
      <c r="J985" s="288"/>
      <c r="K985" s="288"/>
      <c r="L985" s="288"/>
      <c r="M985" s="288"/>
      <c r="N985" s="288"/>
      <c r="O985" s="288"/>
      <c r="P985" s="288"/>
    </row>
    <row r="986" spans="1:17" s="222" customFormat="1" x14ac:dyDescent="0.2">
      <c r="A986" s="995" t="str">
        <f>CONAME</f>
        <v>Columbia Gas of Kentucky, Inc.</v>
      </c>
      <c r="B986" s="995"/>
      <c r="C986" s="995"/>
      <c r="D986" s="995"/>
      <c r="E986" s="995"/>
      <c r="F986" s="995"/>
      <c r="G986" s="995"/>
      <c r="H986" s="995"/>
      <c r="I986" s="995"/>
      <c r="J986" s="995"/>
      <c r="K986" s="995"/>
      <c r="L986" s="995"/>
      <c r="M986" s="995"/>
      <c r="N986" s="995"/>
      <c r="O986" s="995"/>
      <c r="P986" s="995"/>
      <c r="Q986" s="995"/>
    </row>
    <row r="987" spans="1:17" s="222" customFormat="1" x14ac:dyDescent="0.2">
      <c r="A987" s="978" t="str">
        <f>case</f>
        <v>Case No. 2016-00162</v>
      </c>
      <c r="B987" s="978"/>
      <c r="C987" s="978"/>
      <c r="D987" s="978"/>
      <c r="E987" s="978"/>
      <c r="F987" s="978"/>
      <c r="G987" s="978"/>
      <c r="H987" s="978"/>
      <c r="I987" s="978"/>
      <c r="J987" s="978"/>
      <c r="K987" s="978"/>
      <c r="L987" s="978"/>
      <c r="M987" s="978"/>
      <c r="N987" s="978"/>
      <c r="O987" s="978"/>
      <c r="P987" s="978"/>
      <c r="Q987" s="978"/>
    </row>
    <row r="988" spans="1:17" s="222" customFormat="1" x14ac:dyDescent="0.2">
      <c r="A988" s="996" t="s">
        <v>200</v>
      </c>
      <c r="B988" s="996"/>
      <c r="C988" s="996"/>
      <c r="D988" s="996"/>
      <c r="E988" s="996"/>
      <c r="F988" s="996"/>
      <c r="G988" s="996"/>
      <c r="H988" s="996"/>
      <c r="I988" s="996"/>
      <c r="J988" s="996"/>
      <c r="K988" s="996"/>
      <c r="L988" s="996"/>
      <c r="M988" s="996"/>
      <c r="N988" s="996"/>
      <c r="O988" s="996"/>
      <c r="P988" s="996"/>
      <c r="Q988" s="996"/>
    </row>
    <row r="989" spans="1:17" s="222" customFormat="1" x14ac:dyDescent="0.2">
      <c r="A989" s="995" t="str">
        <f>TYDESC</f>
        <v>For the 12 Months Ended December 31, 2017</v>
      </c>
      <c r="B989" s="995"/>
      <c r="C989" s="995"/>
      <c r="D989" s="995"/>
      <c r="E989" s="995"/>
      <c r="F989" s="995"/>
      <c r="G989" s="995"/>
      <c r="H989" s="995"/>
      <c r="I989" s="995"/>
      <c r="J989" s="995"/>
      <c r="K989" s="995"/>
      <c r="L989" s="995"/>
      <c r="M989" s="995"/>
      <c r="N989" s="995"/>
      <c r="O989" s="995"/>
      <c r="P989" s="995"/>
      <c r="Q989" s="995"/>
    </row>
    <row r="990" spans="1:17" s="222" customFormat="1" x14ac:dyDescent="0.2">
      <c r="A990" s="997" t="s">
        <v>39</v>
      </c>
      <c r="B990" s="997"/>
      <c r="C990" s="997"/>
      <c r="D990" s="997"/>
      <c r="E990" s="997"/>
      <c r="F990" s="997"/>
      <c r="G990" s="997"/>
      <c r="H990" s="997"/>
      <c r="I990" s="997"/>
      <c r="J990" s="997"/>
      <c r="K990" s="997"/>
      <c r="L990" s="997"/>
      <c r="M990" s="997"/>
      <c r="N990" s="997"/>
      <c r="O990" s="997"/>
      <c r="P990" s="997"/>
      <c r="Q990" s="997"/>
    </row>
    <row r="991" spans="1:17" s="222" customFormat="1" x14ac:dyDescent="0.2">
      <c r="A991" s="711" t="str">
        <f>$A$52</f>
        <v>Data: __ Base Period _X_ Forecasted Period</v>
      </c>
      <c r="D991" s="286"/>
      <c r="F991" s="288"/>
      <c r="G991" s="469"/>
      <c r="H991" s="288"/>
      <c r="I991" s="293"/>
      <c r="J991" s="288"/>
      <c r="K991" s="288"/>
      <c r="L991" s="288"/>
      <c r="M991" s="288"/>
      <c r="N991" s="288"/>
      <c r="O991" s="288"/>
      <c r="P991" s="288"/>
    </row>
    <row r="992" spans="1:17" s="222" customFormat="1" x14ac:dyDescent="0.2">
      <c r="A992" s="711" t="str">
        <f>$A$53</f>
        <v>Type of Filing: X Original _ Update _ Revised</v>
      </c>
      <c r="D992" s="286"/>
      <c r="F992" s="288"/>
      <c r="G992" s="469"/>
      <c r="H992" s="288"/>
      <c r="I992" s="293"/>
      <c r="J992" s="288"/>
      <c r="K992" s="288"/>
      <c r="L992" s="288"/>
      <c r="M992" s="288"/>
      <c r="N992" s="288"/>
      <c r="O992" s="288"/>
      <c r="P992" s="288"/>
      <c r="Q992" s="720" t="str">
        <f>$Q$53</f>
        <v>Schedule M-2.3</v>
      </c>
    </row>
    <row r="993" spans="1:17" s="222" customFormat="1" x14ac:dyDescent="0.2">
      <c r="A993" s="711" t="str">
        <f>$A$54</f>
        <v>Work Paper Reference No(s):</v>
      </c>
      <c r="D993" s="286"/>
      <c r="F993" s="288"/>
      <c r="G993" s="469"/>
      <c r="H993" s="288"/>
      <c r="I993" s="293"/>
      <c r="J993" s="288"/>
      <c r="K993" s="288"/>
      <c r="L993" s="288"/>
      <c r="M993" s="288"/>
      <c r="N993" s="288"/>
      <c r="O993" s="288"/>
      <c r="P993" s="288"/>
      <c r="Q993" s="720" t="s">
        <v>506</v>
      </c>
    </row>
    <row r="994" spans="1:17" s="222" customFormat="1" x14ac:dyDescent="0.2">
      <c r="A994" s="712" t="str">
        <f>$A$55</f>
        <v>12 Months Forecasted</v>
      </c>
      <c r="D994" s="286"/>
      <c r="F994" s="288"/>
      <c r="G994" s="469"/>
      <c r="H994" s="288"/>
      <c r="I994" s="293"/>
      <c r="J994" s="288"/>
      <c r="K994" s="288"/>
      <c r="L994" s="288"/>
      <c r="M994" s="288"/>
      <c r="N994" s="288"/>
      <c r="O994" s="288"/>
      <c r="P994" s="288"/>
      <c r="Q994" s="720" t="str">
        <f>Witness</f>
        <v>Witness:  M. J. Bell</v>
      </c>
    </row>
    <row r="995" spans="1:17" s="222" customFormat="1" x14ac:dyDescent="0.2">
      <c r="A995" s="998" t="s">
        <v>293</v>
      </c>
      <c r="B995" s="998"/>
      <c r="C995" s="998"/>
      <c r="D995" s="998"/>
      <c r="E995" s="998"/>
      <c r="F995" s="998"/>
      <c r="G995" s="998"/>
      <c r="H995" s="998"/>
      <c r="I995" s="998"/>
      <c r="J995" s="998"/>
      <c r="K995" s="998"/>
      <c r="L995" s="998"/>
      <c r="M995" s="998"/>
      <c r="N995" s="998"/>
      <c r="O995" s="998"/>
      <c r="P995" s="998"/>
      <c r="Q995" s="998"/>
    </row>
    <row r="996" spans="1:17" s="222" customFormat="1" x14ac:dyDescent="0.2">
      <c r="A996" s="225"/>
      <c r="B996" s="302"/>
      <c r="C996" s="302"/>
      <c r="D996" s="304"/>
      <c r="E996" s="302"/>
      <c r="F996" s="495"/>
      <c r="G996" s="496"/>
      <c r="H996" s="495"/>
      <c r="I996" s="497"/>
      <c r="J996" s="495"/>
      <c r="K996" s="495"/>
      <c r="L996" s="495"/>
      <c r="M996" s="495"/>
      <c r="N996" s="495"/>
      <c r="O996" s="495"/>
      <c r="P996" s="495"/>
      <c r="Q996" s="302"/>
    </row>
    <row r="997" spans="1:17" s="222" customFormat="1" x14ac:dyDescent="0.2">
      <c r="A997" s="410" t="s">
        <v>1</v>
      </c>
      <c r="B997" s="410" t="s">
        <v>0</v>
      </c>
      <c r="C997" s="410" t="s">
        <v>41</v>
      </c>
      <c r="D997" s="416" t="s">
        <v>30</v>
      </c>
      <c r="E997" s="410"/>
      <c r="F997" s="722"/>
      <c r="G997" s="725"/>
      <c r="H997" s="722"/>
      <c r="I997" s="726"/>
      <c r="J997" s="722"/>
      <c r="K997" s="722"/>
      <c r="L997" s="722"/>
      <c r="M997" s="722"/>
      <c r="N997" s="722"/>
      <c r="O997" s="722"/>
      <c r="P997" s="722"/>
      <c r="Q997" s="230"/>
    </row>
    <row r="998" spans="1:17" s="222" customFormat="1" x14ac:dyDescent="0.2">
      <c r="A998" s="281" t="s">
        <v>3</v>
      </c>
      <c r="B998" s="281" t="s">
        <v>40</v>
      </c>
      <c r="C998" s="281" t="s">
        <v>4</v>
      </c>
      <c r="D998" s="420" t="s">
        <v>48</v>
      </c>
      <c r="E998" s="421" t="str">
        <f>B!$D$11</f>
        <v>Jan-17</v>
      </c>
      <c r="F998" s="421" t="str">
        <f>B!$E$11</f>
        <v>Feb-17</v>
      </c>
      <c r="G998" s="421" t="str">
        <f>B!$F$11</f>
        <v>Mar-17</v>
      </c>
      <c r="H998" s="421" t="str">
        <f>B!$G$11</f>
        <v>Apr-17</v>
      </c>
      <c r="I998" s="421" t="str">
        <f>B!$H$11</f>
        <v>May-17</v>
      </c>
      <c r="J998" s="421" t="str">
        <f>B!$I$11</f>
        <v>Jun-17</v>
      </c>
      <c r="K998" s="421" t="str">
        <f>B!$J$11</f>
        <v>Jul-17</v>
      </c>
      <c r="L998" s="421" t="str">
        <f>B!$K$11</f>
        <v>Aug-17</v>
      </c>
      <c r="M998" s="421" t="str">
        <f>B!$L$11</f>
        <v>Sep-17</v>
      </c>
      <c r="N998" s="421" t="str">
        <f>B!$M$11</f>
        <v>Oct-17</v>
      </c>
      <c r="O998" s="421" t="str">
        <f>B!$N$11</f>
        <v>Nov-17</v>
      </c>
      <c r="P998" s="421" t="str">
        <f>B!$O$11</f>
        <v>Dec-17</v>
      </c>
      <c r="Q998" s="421" t="s">
        <v>9</v>
      </c>
    </row>
    <row r="999" spans="1:17" s="222" customFormat="1" x14ac:dyDescent="0.2">
      <c r="A999" s="410"/>
      <c r="B999" s="229" t="s">
        <v>42</v>
      </c>
      <c r="C999" s="229" t="s">
        <v>43</v>
      </c>
      <c r="D999" s="423" t="s">
        <v>45</v>
      </c>
      <c r="E999" s="424" t="s">
        <v>46</v>
      </c>
      <c r="F999" s="424" t="s">
        <v>49</v>
      </c>
      <c r="G999" s="424" t="s">
        <v>50</v>
      </c>
      <c r="H999" s="424" t="s">
        <v>51</v>
      </c>
      <c r="I999" s="424" t="s">
        <v>52</v>
      </c>
      <c r="J999" s="425" t="s">
        <v>53</v>
      </c>
      <c r="K999" s="425" t="s">
        <v>54</v>
      </c>
      <c r="L999" s="425" t="s">
        <v>55</v>
      </c>
      <c r="M999" s="425" t="s">
        <v>56</v>
      </c>
      <c r="N999" s="425" t="s">
        <v>57</v>
      </c>
      <c r="O999" s="425" t="s">
        <v>58</v>
      </c>
      <c r="P999" s="425" t="s">
        <v>59</v>
      </c>
      <c r="Q999" s="425" t="s">
        <v>203</v>
      </c>
    </row>
    <row r="1000" spans="1:17" s="222" customFormat="1" x14ac:dyDescent="0.2">
      <c r="A1000" s="259"/>
      <c r="D1000" s="286"/>
      <c r="E1000" s="230"/>
      <c r="F1000" s="727"/>
      <c r="G1000" s="723"/>
      <c r="H1000" s="727"/>
      <c r="I1000" s="724"/>
      <c r="J1000" s="727"/>
      <c r="K1000" s="727"/>
      <c r="L1000" s="727"/>
      <c r="M1000" s="727"/>
      <c r="N1000" s="727"/>
      <c r="O1000" s="727"/>
      <c r="P1000" s="727"/>
      <c r="Q1000" s="230"/>
    </row>
    <row r="1001" spans="1:17" s="222" customFormat="1" x14ac:dyDescent="0.2">
      <c r="A1001" s="259">
        <v>1</v>
      </c>
      <c r="B1001" s="222" t="str">
        <f>B257</f>
        <v>GDS</v>
      </c>
      <c r="C1001" s="222" t="str">
        <f>C257</f>
        <v>GTS Grandfathered Delivery Service - Commercial</v>
      </c>
      <c r="D1001" s="286"/>
      <c r="F1001" s="288"/>
      <c r="G1001" s="469"/>
      <c r="H1001" s="288"/>
      <c r="I1001" s="293"/>
      <c r="J1001" s="288"/>
      <c r="K1001" s="288"/>
      <c r="L1001" s="288"/>
      <c r="M1001" s="288"/>
      <c r="N1001" s="288"/>
      <c r="O1001" s="288"/>
      <c r="P1001" s="288"/>
    </row>
    <row r="1002" spans="1:17" s="222" customFormat="1" x14ac:dyDescent="0.2">
      <c r="A1002" s="259"/>
      <c r="D1002" s="286"/>
      <c r="F1002" s="288"/>
      <c r="G1002" s="469"/>
      <c r="H1002" s="288"/>
      <c r="I1002" s="293"/>
      <c r="J1002" s="288"/>
      <c r="K1002" s="288"/>
      <c r="L1002" s="288"/>
      <c r="M1002" s="288"/>
      <c r="N1002" s="288"/>
      <c r="O1002" s="288"/>
      <c r="P1002" s="288"/>
    </row>
    <row r="1003" spans="1:17" s="222" customFormat="1" x14ac:dyDescent="0.2">
      <c r="A1003" s="259">
        <f>A1001+1</f>
        <v>2</v>
      </c>
      <c r="C1003" s="262" t="s">
        <v>111</v>
      </c>
      <c r="D1003" s="286"/>
      <c r="F1003" s="288"/>
      <c r="G1003" s="469"/>
      <c r="H1003" s="288"/>
      <c r="I1003" s="293"/>
      <c r="J1003" s="288"/>
      <c r="K1003" s="288"/>
      <c r="L1003" s="288"/>
      <c r="M1003" s="288"/>
      <c r="N1003" s="288"/>
      <c r="O1003" s="288"/>
      <c r="P1003" s="288"/>
    </row>
    <row r="1004" spans="1:17" s="222" customFormat="1" x14ac:dyDescent="0.2">
      <c r="A1004" s="259"/>
      <c r="C1004" s="262"/>
      <c r="D1004" s="286"/>
      <c r="F1004" s="288"/>
      <c r="G1004" s="469"/>
      <c r="H1004" s="288"/>
      <c r="I1004" s="293"/>
      <c r="J1004" s="288"/>
      <c r="K1004" s="288"/>
      <c r="L1004" s="288"/>
      <c r="M1004" s="288"/>
      <c r="N1004" s="288"/>
      <c r="O1004" s="288"/>
      <c r="P1004" s="288"/>
    </row>
    <row r="1005" spans="1:17" s="222" customFormat="1" x14ac:dyDescent="0.2">
      <c r="A1005" s="259">
        <f>A1003+1</f>
        <v>3</v>
      </c>
      <c r="C1005" s="222" t="s">
        <v>202</v>
      </c>
      <c r="D1005" s="286"/>
      <c r="E1005" s="472">
        <f>B!D194</f>
        <v>12</v>
      </c>
      <c r="F1005" s="472">
        <f>B!E194</f>
        <v>12</v>
      </c>
      <c r="G1005" s="472">
        <f>B!F194</f>
        <v>12</v>
      </c>
      <c r="H1005" s="472">
        <f>B!G194</f>
        <v>12</v>
      </c>
      <c r="I1005" s="472">
        <f>B!H194</f>
        <v>12</v>
      </c>
      <c r="J1005" s="472">
        <f>B!I194</f>
        <v>12</v>
      </c>
      <c r="K1005" s="472">
        <f>B!J194</f>
        <v>12</v>
      </c>
      <c r="L1005" s="472">
        <f>B!K194</f>
        <v>12</v>
      </c>
      <c r="M1005" s="472">
        <f>B!L194</f>
        <v>12</v>
      </c>
      <c r="N1005" s="472">
        <f>B!M194</f>
        <v>12</v>
      </c>
      <c r="O1005" s="472">
        <f>B!N194</f>
        <v>13</v>
      </c>
      <c r="P1005" s="472">
        <f>B!O194</f>
        <v>12</v>
      </c>
      <c r="Q1005" s="472">
        <f>SUM(E1005:P1005)</f>
        <v>145</v>
      </c>
    </row>
    <row r="1006" spans="1:17" s="222" customFormat="1" x14ac:dyDescent="0.2">
      <c r="A1006" s="259">
        <f>A1005+1</f>
        <v>4</v>
      </c>
      <c r="C1006" s="222" t="s">
        <v>210</v>
      </c>
      <c r="D1006" s="781">
        <f>Input!U46</f>
        <v>44.69</v>
      </c>
      <c r="E1006" s="427">
        <f t="shared" ref="E1006:P1006" si="307">ROUND(E1005*$D$1006,2)</f>
        <v>536.28</v>
      </c>
      <c r="F1006" s="427">
        <f t="shared" si="307"/>
        <v>536.28</v>
      </c>
      <c r="G1006" s="427">
        <f t="shared" si="307"/>
        <v>536.28</v>
      </c>
      <c r="H1006" s="427">
        <f t="shared" si="307"/>
        <v>536.28</v>
      </c>
      <c r="I1006" s="427">
        <f t="shared" si="307"/>
        <v>536.28</v>
      </c>
      <c r="J1006" s="427">
        <f t="shared" si="307"/>
        <v>536.28</v>
      </c>
      <c r="K1006" s="427">
        <f t="shared" si="307"/>
        <v>536.28</v>
      </c>
      <c r="L1006" s="427">
        <f t="shared" si="307"/>
        <v>536.28</v>
      </c>
      <c r="M1006" s="427">
        <f t="shared" si="307"/>
        <v>536.28</v>
      </c>
      <c r="N1006" s="427">
        <f t="shared" si="307"/>
        <v>536.28</v>
      </c>
      <c r="O1006" s="427">
        <f t="shared" si="307"/>
        <v>580.97</v>
      </c>
      <c r="P1006" s="427">
        <f t="shared" si="307"/>
        <v>536.28</v>
      </c>
      <c r="Q1006" s="427">
        <f>SUM(E1006:P1006)</f>
        <v>6480.0499999999984</v>
      </c>
    </row>
    <row r="1007" spans="1:17" s="222" customFormat="1" x14ac:dyDescent="0.2">
      <c r="A1007" s="259">
        <f>A1006+1</f>
        <v>5</v>
      </c>
      <c r="C1007" s="222" t="s">
        <v>217</v>
      </c>
      <c r="D1007" s="781">
        <f>Input!V46</f>
        <v>0</v>
      </c>
      <c r="E1007" s="427">
        <f t="shared" ref="E1007:P1007" si="308">ROUND(E1005*$D$1007,2)</f>
        <v>0</v>
      </c>
      <c r="F1007" s="427">
        <f t="shared" si="308"/>
        <v>0</v>
      </c>
      <c r="G1007" s="427">
        <f t="shared" si="308"/>
        <v>0</v>
      </c>
      <c r="H1007" s="427">
        <f t="shared" si="308"/>
        <v>0</v>
      </c>
      <c r="I1007" s="427">
        <f t="shared" si="308"/>
        <v>0</v>
      </c>
      <c r="J1007" s="427">
        <f t="shared" si="308"/>
        <v>0</v>
      </c>
      <c r="K1007" s="427">
        <f t="shared" si="308"/>
        <v>0</v>
      </c>
      <c r="L1007" s="427">
        <f t="shared" si="308"/>
        <v>0</v>
      </c>
      <c r="M1007" s="427">
        <f t="shared" si="308"/>
        <v>0</v>
      </c>
      <c r="N1007" s="427">
        <f t="shared" si="308"/>
        <v>0</v>
      </c>
      <c r="O1007" s="427">
        <f t="shared" si="308"/>
        <v>0</v>
      </c>
      <c r="P1007" s="427">
        <f t="shared" si="308"/>
        <v>0</v>
      </c>
      <c r="Q1007" s="427">
        <f>SUM(E1007:P1007)</f>
        <v>0</v>
      </c>
    </row>
    <row r="1008" spans="1:17" s="222" customFormat="1" x14ac:dyDescent="0.2">
      <c r="A1008" s="259">
        <f>A1007+1</f>
        <v>6</v>
      </c>
      <c r="C1008" s="222" t="s">
        <v>211</v>
      </c>
      <c r="D1008" s="781">
        <f>Input!W46</f>
        <v>0</v>
      </c>
      <c r="E1008" s="427">
        <f t="shared" ref="E1008:P1008" si="309">ROUND(E1005*$D$1008,2)</f>
        <v>0</v>
      </c>
      <c r="F1008" s="427">
        <f t="shared" si="309"/>
        <v>0</v>
      </c>
      <c r="G1008" s="427">
        <f t="shared" si="309"/>
        <v>0</v>
      </c>
      <c r="H1008" s="427">
        <f t="shared" si="309"/>
        <v>0</v>
      </c>
      <c r="I1008" s="427">
        <f t="shared" si="309"/>
        <v>0</v>
      </c>
      <c r="J1008" s="427">
        <f t="shared" si="309"/>
        <v>0</v>
      </c>
      <c r="K1008" s="427">
        <f t="shared" si="309"/>
        <v>0</v>
      </c>
      <c r="L1008" s="427">
        <f t="shared" si="309"/>
        <v>0</v>
      </c>
      <c r="M1008" s="427">
        <f t="shared" si="309"/>
        <v>0</v>
      </c>
      <c r="N1008" s="427">
        <f t="shared" si="309"/>
        <v>0</v>
      </c>
      <c r="O1008" s="427">
        <f t="shared" si="309"/>
        <v>0</v>
      </c>
      <c r="P1008" s="427">
        <f t="shared" si="309"/>
        <v>0</v>
      </c>
      <c r="Q1008" s="427">
        <f>SUM(E1008:P1008)</f>
        <v>0</v>
      </c>
    </row>
    <row r="1009" spans="1:17" s="222" customFormat="1" x14ac:dyDescent="0.2">
      <c r="A1009" s="259"/>
      <c r="D1009" s="286"/>
      <c r="E1009" s="514"/>
      <c r="F1009" s="288"/>
      <c r="G1009" s="469"/>
      <c r="H1009" s="288"/>
      <c r="I1009" s="293"/>
      <c r="J1009" s="288"/>
      <c r="K1009" s="288"/>
      <c r="L1009" s="288"/>
      <c r="M1009" s="288"/>
      <c r="N1009" s="288"/>
      <c r="O1009" s="288"/>
      <c r="P1009" s="288"/>
    </row>
    <row r="1010" spans="1:17" s="222" customFormat="1" x14ac:dyDescent="0.2">
      <c r="A1010" s="259">
        <f>A1008+1</f>
        <v>7</v>
      </c>
      <c r="C1010" s="222" t="s">
        <v>209</v>
      </c>
      <c r="D1010" s="286"/>
    </row>
    <row r="1011" spans="1:17" s="222" customFormat="1" x14ac:dyDescent="0.2">
      <c r="A1011" s="259">
        <f>A1010+1</f>
        <v>8</v>
      </c>
      <c r="C1011" s="222" t="str">
        <f>'C'!B291</f>
        <v xml:space="preserve">    First 50 Mcf</v>
      </c>
      <c r="D1011" s="286"/>
      <c r="E1011" s="476">
        <f>'C'!D303</f>
        <v>600</v>
      </c>
      <c r="F1011" s="476">
        <f>'C'!E303</f>
        <v>600</v>
      </c>
      <c r="G1011" s="476">
        <f>'C'!F303</f>
        <v>600</v>
      </c>
      <c r="H1011" s="476">
        <f>'C'!G303</f>
        <v>600</v>
      </c>
      <c r="I1011" s="476">
        <f>'C'!H303</f>
        <v>600</v>
      </c>
      <c r="J1011" s="476">
        <f>'C'!I303</f>
        <v>600</v>
      </c>
      <c r="K1011" s="476">
        <f>'C'!J303</f>
        <v>600</v>
      </c>
      <c r="L1011" s="476">
        <f>'C'!K303</f>
        <v>600</v>
      </c>
      <c r="M1011" s="476">
        <f>'C'!L303</f>
        <v>600</v>
      </c>
      <c r="N1011" s="476">
        <f>'C'!M303</f>
        <v>600</v>
      </c>
      <c r="O1011" s="476">
        <f>'C'!N303</f>
        <v>550</v>
      </c>
      <c r="P1011" s="476">
        <f>'C'!O303</f>
        <v>600</v>
      </c>
      <c r="Q1011" s="476">
        <f>SUM(E1011:P1011)</f>
        <v>7150</v>
      </c>
    </row>
    <row r="1012" spans="1:17" s="222" customFormat="1" x14ac:dyDescent="0.2">
      <c r="A1012" s="259">
        <f>A1011+1</f>
        <v>9</v>
      </c>
      <c r="C1012" s="222" t="str">
        <f>'C'!B292</f>
        <v xml:space="preserve">    Next 350 Mcf</v>
      </c>
      <c r="D1012" s="512"/>
      <c r="E1012" s="476">
        <f>'C'!D304</f>
        <v>4200</v>
      </c>
      <c r="F1012" s="476">
        <f>'C'!E304</f>
        <v>4200</v>
      </c>
      <c r="G1012" s="476">
        <f>'C'!F304</f>
        <v>4200</v>
      </c>
      <c r="H1012" s="476">
        <f>'C'!G304</f>
        <v>4182.5</v>
      </c>
      <c r="I1012" s="476">
        <f>'C'!H304</f>
        <v>4127</v>
      </c>
      <c r="J1012" s="476">
        <f>'C'!I304</f>
        <v>4044.2</v>
      </c>
      <c r="K1012" s="476">
        <f>'C'!J304</f>
        <v>3998.9</v>
      </c>
      <c r="L1012" s="476">
        <f>'C'!K304</f>
        <v>3891.4</v>
      </c>
      <c r="M1012" s="476">
        <f>'C'!L304</f>
        <v>4069.2</v>
      </c>
      <c r="N1012" s="476">
        <f>'C'!M304</f>
        <v>4045</v>
      </c>
      <c r="O1012" s="476">
        <f>'C'!N304</f>
        <v>3850</v>
      </c>
      <c r="P1012" s="476">
        <f>'C'!O304</f>
        <v>4200</v>
      </c>
      <c r="Q1012" s="476">
        <f>SUM(E1012:P1012)</f>
        <v>49008.2</v>
      </c>
    </row>
    <row r="1013" spans="1:17" s="222" customFormat="1" x14ac:dyDescent="0.2">
      <c r="A1013" s="259">
        <f>A1012+1</f>
        <v>10</v>
      </c>
      <c r="C1013" s="222" t="str">
        <f>'C'!B293</f>
        <v xml:space="preserve">    Next 600 Mcf</v>
      </c>
      <c r="D1013" s="512"/>
      <c r="E1013" s="476">
        <f>'C'!D305</f>
        <v>7070</v>
      </c>
      <c r="F1013" s="476">
        <f>'C'!E305</f>
        <v>6882.7</v>
      </c>
      <c r="G1013" s="476">
        <f>'C'!F305</f>
        <v>6964.3</v>
      </c>
      <c r="H1013" s="476">
        <f>'C'!G305</f>
        <v>6167.1</v>
      </c>
      <c r="I1013" s="476">
        <f>'C'!H305</f>
        <v>6270.1</v>
      </c>
      <c r="J1013" s="476">
        <f>'C'!I305</f>
        <v>4699.5</v>
      </c>
      <c r="K1013" s="476">
        <f>'C'!J305</f>
        <v>5144.3</v>
      </c>
      <c r="L1013" s="476">
        <f>'C'!K305</f>
        <v>4257.5</v>
      </c>
      <c r="M1013" s="476">
        <f>'C'!L305</f>
        <v>4801.3</v>
      </c>
      <c r="N1013" s="476">
        <f>'C'!M305</f>
        <v>6031.9</v>
      </c>
      <c r="O1013" s="476">
        <f>'C'!N305</f>
        <v>6494.6</v>
      </c>
      <c r="P1013" s="476">
        <f>'C'!O305</f>
        <v>6960.4</v>
      </c>
      <c r="Q1013" s="476">
        <f>SUM(E1013:P1013)</f>
        <v>71743.7</v>
      </c>
    </row>
    <row r="1014" spans="1:17" s="222" customFormat="1" x14ac:dyDescent="0.2">
      <c r="A1014" s="259">
        <f>A1013+1</f>
        <v>11</v>
      </c>
      <c r="C1014" s="222" t="str">
        <f>'C'!B294</f>
        <v xml:space="preserve">    Over 1,000 Mcf</v>
      </c>
      <c r="D1014" s="512"/>
      <c r="E1014" s="515">
        <f>'C'!D306</f>
        <v>13932.9</v>
      </c>
      <c r="F1014" s="515">
        <f>'C'!E306</f>
        <v>13803.3</v>
      </c>
      <c r="G1014" s="515">
        <f>'C'!F306</f>
        <v>10302.299999999999</v>
      </c>
      <c r="H1014" s="515">
        <f>'C'!G306</f>
        <v>5333.3</v>
      </c>
      <c r="I1014" s="515">
        <f>'C'!H306</f>
        <v>4075.8</v>
      </c>
      <c r="J1014" s="515">
        <f>'C'!I306</f>
        <v>1525.9</v>
      </c>
      <c r="K1014" s="515">
        <f>'C'!J306</f>
        <v>2402.3000000000002</v>
      </c>
      <c r="L1014" s="515">
        <f>'C'!K306</f>
        <v>1889</v>
      </c>
      <c r="M1014" s="515">
        <f>'C'!L306</f>
        <v>1772.2</v>
      </c>
      <c r="N1014" s="515">
        <f>'C'!M306</f>
        <v>3743.8</v>
      </c>
      <c r="O1014" s="515">
        <f>'C'!N306</f>
        <v>7560.9</v>
      </c>
      <c r="P1014" s="515">
        <f>'C'!O306</f>
        <v>9386.9</v>
      </c>
      <c r="Q1014" s="515">
        <f>SUM(E1014:P1014)</f>
        <v>75728.600000000006</v>
      </c>
    </row>
    <row r="1015" spans="1:17" s="222" customFormat="1" x14ac:dyDescent="0.2">
      <c r="A1015" s="259"/>
      <c r="D1015" s="782"/>
      <c r="E1015" s="476">
        <f t="shared" ref="E1015:P1015" si="310">SUM(E1011:E1014)</f>
        <v>25802.9</v>
      </c>
      <c r="F1015" s="476">
        <f t="shared" si="310"/>
        <v>25486</v>
      </c>
      <c r="G1015" s="476">
        <f t="shared" si="310"/>
        <v>22066.6</v>
      </c>
      <c r="H1015" s="476">
        <f t="shared" si="310"/>
        <v>16282.900000000001</v>
      </c>
      <c r="I1015" s="476">
        <f t="shared" si="310"/>
        <v>15072.900000000001</v>
      </c>
      <c r="J1015" s="476">
        <f t="shared" si="310"/>
        <v>10869.6</v>
      </c>
      <c r="K1015" s="476">
        <f t="shared" si="310"/>
        <v>12145.5</v>
      </c>
      <c r="L1015" s="476">
        <f t="shared" si="310"/>
        <v>10637.9</v>
      </c>
      <c r="M1015" s="476">
        <f t="shared" si="310"/>
        <v>11242.7</v>
      </c>
      <c r="N1015" s="476">
        <f t="shared" si="310"/>
        <v>14420.7</v>
      </c>
      <c r="O1015" s="476">
        <f t="shared" si="310"/>
        <v>18455.5</v>
      </c>
      <c r="P1015" s="476">
        <f t="shared" si="310"/>
        <v>21147.3</v>
      </c>
      <c r="Q1015" s="476">
        <f>SUM(E1015:P1015)</f>
        <v>203630.5</v>
      </c>
    </row>
    <row r="1016" spans="1:17" s="222" customFormat="1" x14ac:dyDescent="0.2">
      <c r="A1016" s="259">
        <f>A1014+1</f>
        <v>12</v>
      </c>
      <c r="C1016" s="222" t="s">
        <v>207</v>
      </c>
      <c r="D1016" s="512"/>
      <c r="F1016" s="288"/>
      <c r="G1016" s="469"/>
      <c r="H1016" s="288"/>
      <c r="I1016" s="293"/>
      <c r="J1016" s="288"/>
      <c r="K1016" s="288"/>
      <c r="L1016" s="288"/>
      <c r="M1016" s="288"/>
      <c r="N1016" s="288"/>
      <c r="O1016" s="288"/>
      <c r="P1016" s="288"/>
      <c r="Q1016" s="536"/>
    </row>
    <row r="1017" spans="1:17" s="222" customFormat="1" x14ac:dyDescent="0.2">
      <c r="A1017" s="259">
        <f>A1016+1</f>
        <v>13</v>
      </c>
      <c r="C1017" s="222" t="str">
        <f>C1011</f>
        <v xml:space="preserve">    First 50 Mcf</v>
      </c>
      <c r="D1017" s="782">
        <f>Input!P46</f>
        <v>3.0331999999999999</v>
      </c>
      <c r="E1017" s="427">
        <f t="shared" ref="E1017:P1017" si="311">ROUND(E1011*$D$1017,2)</f>
        <v>1819.92</v>
      </c>
      <c r="F1017" s="427">
        <f t="shared" si="311"/>
        <v>1819.92</v>
      </c>
      <c r="G1017" s="427">
        <f t="shared" si="311"/>
        <v>1819.92</v>
      </c>
      <c r="H1017" s="427">
        <f t="shared" si="311"/>
        <v>1819.92</v>
      </c>
      <c r="I1017" s="427">
        <f t="shared" si="311"/>
        <v>1819.92</v>
      </c>
      <c r="J1017" s="427">
        <f t="shared" si="311"/>
        <v>1819.92</v>
      </c>
      <c r="K1017" s="427">
        <f t="shared" si="311"/>
        <v>1819.92</v>
      </c>
      <c r="L1017" s="427">
        <f t="shared" si="311"/>
        <v>1819.92</v>
      </c>
      <c r="M1017" s="427">
        <f t="shared" si="311"/>
        <v>1819.92</v>
      </c>
      <c r="N1017" s="427">
        <f t="shared" si="311"/>
        <v>1819.92</v>
      </c>
      <c r="O1017" s="427">
        <f t="shared" si="311"/>
        <v>1668.26</v>
      </c>
      <c r="P1017" s="427">
        <f t="shared" si="311"/>
        <v>1819.92</v>
      </c>
      <c r="Q1017" s="427">
        <f>SUM(E1017:P1017)</f>
        <v>21687.379999999997</v>
      </c>
    </row>
    <row r="1018" spans="1:17" s="222" customFormat="1" x14ac:dyDescent="0.2">
      <c r="A1018" s="259">
        <f>A1017+1</f>
        <v>14</v>
      </c>
      <c r="C1018" s="222" t="str">
        <f>C1012</f>
        <v xml:space="preserve">    Next 350 Mcf</v>
      </c>
      <c r="D1018" s="782">
        <f>Input!Q46</f>
        <v>2.3445999999999998</v>
      </c>
      <c r="E1018" s="472">
        <f t="shared" ref="E1018:P1018" si="312">ROUND(E1012*$D$1018,2)</f>
        <v>9847.32</v>
      </c>
      <c r="F1018" s="472">
        <f t="shared" si="312"/>
        <v>9847.32</v>
      </c>
      <c r="G1018" s="472">
        <f t="shared" si="312"/>
        <v>9847.32</v>
      </c>
      <c r="H1018" s="472">
        <f t="shared" si="312"/>
        <v>9806.2900000000009</v>
      </c>
      <c r="I1018" s="472">
        <f t="shared" si="312"/>
        <v>9676.16</v>
      </c>
      <c r="J1018" s="472">
        <f t="shared" si="312"/>
        <v>9482.0300000000007</v>
      </c>
      <c r="K1018" s="472">
        <f t="shared" si="312"/>
        <v>9375.82</v>
      </c>
      <c r="L1018" s="472">
        <f t="shared" si="312"/>
        <v>9123.7800000000007</v>
      </c>
      <c r="M1018" s="472">
        <f t="shared" si="312"/>
        <v>9540.65</v>
      </c>
      <c r="N1018" s="472">
        <f t="shared" si="312"/>
        <v>9483.91</v>
      </c>
      <c r="O1018" s="472">
        <f t="shared" si="312"/>
        <v>9026.7099999999991</v>
      </c>
      <c r="P1018" s="472">
        <f t="shared" si="312"/>
        <v>9847.32</v>
      </c>
      <c r="Q1018" s="472">
        <f>SUM(E1018:P1018)</f>
        <v>114904.63</v>
      </c>
    </row>
    <row r="1019" spans="1:17" s="222" customFormat="1" x14ac:dyDescent="0.2">
      <c r="A1019" s="259">
        <f>A1018+1</f>
        <v>15</v>
      </c>
      <c r="C1019" s="222" t="str">
        <f>C1013</f>
        <v xml:space="preserve">    Next 600 Mcf</v>
      </c>
      <c r="D1019" s="782">
        <f>Input!R46</f>
        <v>2.2294</v>
      </c>
      <c r="E1019" s="472">
        <f t="shared" ref="E1019:O1019" si="313">ROUND(E1013*$D$1019,2)</f>
        <v>15761.86</v>
      </c>
      <c r="F1019" s="472">
        <f t="shared" si="313"/>
        <v>15344.29</v>
      </c>
      <c r="G1019" s="472">
        <f t="shared" si="313"/>
        <v>15526.21</v>
      </c>
      <c r="H1019" s="472">
        <f t="shared" si="313"/>
        <v>13748.93</v>
      </c>
      <c r="I1019" s="472">
        <f t="shared" si="313"/>
        <v>13978.56</v>
      </c>
      <c r="J1019" s="472">
        <f t="shared" si="313"/>
        <v>10477.07</v>
      </c>
      <c r="K1019" s="472">
        <f t="shared" si="313"/>
        <v>11468.7</v>
      </c>
      <c r="L1019" s="472">
        <f t="shared" si="313"/>
        <v>9491.67</v>
      </c>
      <c r="M1019" s="472">
        <f t="shared" si="313"/>
        <v>10704.02</v>
      </c>
      <c r="N1019" s="472">
        <f t="shared" si="313"/>
        <v>13447.52</v>
      </c>
      <c r="O1019" s="472">
        <f t="shared" si="313"/>
        <v>14479.06</v>
      </c>
      <c r="P1019" s="472">
        <f>ROUND(P1013*$D$1019,2)</f>
        <v>15517.52</v>
      </c>
      <c r="Q1019" s="472">
        <f>SUM(E1019:P1019)</f>
        <v>159945.41</v>
      </c>
    </row>
    <row r="1020" spans="1:17" s="222" customFormat="1" x14ac:dyDescent="0.2">
      <c r="A1020" s="259">
        <f>A1019+1</f>
        <v>16</v>
      </c>
      <c r="C1020" s="222" t="str">
        <f>C1014</f>
        <v xml:space="preserve">    Over 1,000 Mcf</v>
      </c>
      <c r="D1020" s="782">
        <f>Input!S46</f>
        <v>2.0294000000000003</v>
      </c>
      <c r="E1020" s="521">
        <f t="shared" ref="E1020:O1020" si="314">ROUND(E1014*$D$1020,2)</f>
        <v>28275.43</v>
      </c>
      <c r="F1020" s="521">
        <f t="shared" si="314"/>
        <v>28012.42</v>
      </c>
      <c r="G1020" s="521">
        <f t="shared" si="314"/>
        <v>20907.490000000002</v>
      </c>
      <c r="H1020" s="521">
        <f t="shared" si="314"/>
        <v>10823.4</v>
      </c>
      <c r="I1020" s="521">
        <f t="shared" si="314"/>
        <v>8271.43</v>
      </c>
      <c r="J1020" s="521">
        <f t="shared" si="314"/>
        <v>3096.66</v>
      </c>
      <c r="K1020" s="521">
        <f t="shared" si="314"/>
        <v>4875.2299999999996</v>
      </c>
      <c r="L1020" s="521">
        <f t="shared" si="314"/>
        <v>3833.54</v>
      </c>
      <c r="M1020" s="521">
        <f t="shared" si="314"/>
        <v>3596.5</v>
      </c>
      <c r="N1020" s="521">
        <f t="shared" si="314"/>
        <v>7597.67</v>
      </c>
      <c r="O1020" s="521">
        <f t="shared" si="314"/>
        <v>15344.09</v>
      </c>
      <c r="P1020" s="521">
        <f>ROUND(P1014*$D$1020,2)</f>
        <v>19049.77</v>
      </c>
      <c r="Q1020" s="472">
        <f>SUM(E1020:P1020)</f>
        <v>153683.62999999998</v>
      </c>
    </row>
    <row r="1021" spans="1:17" s="222" customFormat="1" x14ac:dyDescent="0.2">
      <c r="A1021" s="259"/>
      <c r="D1021" s="512"/>
      <c r="E1021" s="427">
        <f t="shared" ref="E1021:P1021" si="315">SUM(E1017:E1020)</f>
        <v>55704.53</v>
      </c>
      <c r="F1021" s="427">
        <f t="shared" si="315"/>
        <v>55023.95</v>
      </c>
      <c r="G1021" s="427">
        <f t="shared" si="315"/>
        <v>48100.94</v>
      </c>
      <c r="H1021" s="427">
        <f t="shared" si="315"/>
        <v>36198.54</v>
      </c>
      <c r="I1021" s="427">
        <f t="shared" si="315"/>
        <v>33746.07</v>
      </c>
      <c r="J1021" s="427">
        <f t="shared" si="315"/>
        <v>24875.68</v>
      </c>
      <c r="K1021" s="427">
        <f t="shared" si="315"/>
        <v>27539.670000000002</v>
      </c>
      <c r="L1021" s="427">
        <f t="shared" si="315"/>
        <v>24268.910000000003</v>
      </c>
      <c r="M1021" s="427">
        <f t="shared" si="315"/>
        <v>25661.09</v>
      </c>
      <c r="N1021" s="427">
        <f t="shared" si="315"/>
        <v>32349.019999999997</v>
      </c>
      <c r="O1021" s="427">
        <f t="shared" si="315"/>
        <v>40518.119999999995</v>
      </c>
      <c r="P1021" s="427">
        <f t="shared" si="315"/>
        <v>46234.53</v>
      </c>
      <c r="Q1021" s="427">
        <f>SUM(E1021:P1021)</f>
        <v>450221.05000000005</v>
      </c>
    </row>
    <row r="1022" spans="1:17" s="222" customFormat="1" x14ac:dyDescent="0.2">
      <c r="A1022" s="259"/>
      <c r="D1022" s="512"/>
      <c r="E1022" s="288"/>
      <c r="F1022" s="288"/>
      <c r="G1022" s="288"/>
      <c r="H1022" s="288"/>
      <c r="I1022" s="288"/>
      <c r="J1022" s="288"/>
      <c r="K1022" s="288"/>
      <c r="L1022" s="288"/>
      <c r="M1022" s="288"/>
      <c r="N1022" s="288"/>
      <c r="O1022" s="288"/>
      <c r="P1022" s="288"/>
      <c r="Q1022" s="288"/>
    </row>
    <row r="1023" spans="1:17" s="222" customFormat="1" x14ac:dyDescent="0.2">
      <c r="A1023" s="259">
        <f>A1020+1</f>
        <v>17</v>
      </c>
      <c r="C1023" s="222" t="s">
        <v>204</v>
      </c>
      <c r="D1023" s="512"/>
      <c r="E1023" s="427">
        <f t="shared" ref="E1023:P1023" si="316">E1006+E1007+E1008+E1021</f>
        <v>56240.81</v>
      </c>
      <c r="F1023" s="427">
        <f t="shared" si="316"/>
        <v>55560.229999999996</v>
      </c>
      <c r="G1023" s="427">
        <f t="shared" si="316"/>
        <v>48637.22</v>
      </c>
      <c r="H1023" s="427">
        <f t="shared" si="316"/>
        <v>36734.82</v>
      </c>
      <c r="I1023" s="427">
        <f t="shared" si="316"/>
        <v>34282.35</v>
      </c>
      <c r="J1023" s="427">
        <f t="shared" si="316"/>
        <v>25411.96</v>
      </c>
      <c r="K1023" s="427">
        <f t="shared" si="316"/>
        <v>28075.95</v>
      </c>
      <c r="L1023" s="427">
        <f t="shared" si="316"/>
        <v>24805.190000000002</v>
      </c>
      <c r="M1023" s="427">
        <f t="shared" si="316"/>
        <v>26197.37</v>
      </c>
      <c r="N1023" s="427">
        <f t="shared" si="316"/>
        <v>32885.299999999996</v>
      </c>
      <c r="O1023" s="427">
        <f t="shared" si="316"/>
        <v>41099.089999999997</v>
      </c>
      <c r="P1023" s="427">
        <f t="shared" si="316"/>
        <v>46770.81</v>
      </c>
      <c r="Q1023" s="427">
        <f>SUM(E1023:P1023)</f>
        <v>456701.10000000003</v>
      </c>
    </row>
    <row r="1024" spans="1:17" s="222" customFormat="1" x14ac:dyDescent="0.2">
      <c r="A1024" s="259"/>
      <c r="D1024" s="512"/>
      <c r="E1024" s="482"/>
      <c r="F1024" s="482"/>
      <c r="G1024" s="482"/>
      <c r="H1024" s="482"/>
      <c r="I1024" s="482"/>
      <c r="J1024" s="482"/>
      <c r="K1024" s="482"/>
      <c r="L1024" s="482"/>
      <c r="M1024" s="482"/>
      <c r="N1024" s="482"/>
      <c r="O1024" s="482"/>
      <c r="P1024" s="482"/>
      <c r="Q1024" s="482"/>
    </row>
    <row r="1025" spans="1:17" s="222" customFormat="1" x14ac:dyDescent="0.2">
      <c r="A1025" s="259">
        <f>A1023+1</f>
        <v>18</v>
      </c>
      <c r="C1025" s="222" t="s">
        <v>151</v>
      </c>
      <c r="D1025" s="783">
        <v>0</v>
      </c>
      <c r="E1025" s="510">
        <v>0</v>
      </c>
      <c r="F1025" s="510">
        <v>0</v>
      </c>
      <c r="G1025" s="510">
        <v>0</v>
      </c>
      <c r="H1025" s="510">
        <v>0</v>
      </c>
      <c r="I1025" s="510">
        <v>0</v>
      </c>
      <c r="J1025" s="510">
        <v>0</v>
      </c>
      <c r="K1025" s="510">
        <v>0</v>
      </c>
      <c r="L1025" s="510">
        <v>0</v>
      </c>
      <c r="M1025" s="510">
        <v>0</v>
      </c>
      <c r="N1025" s="510">
        <v>0</v>
      </c>
      <c r="O1025" s="510">
        <v>0</v>
      </c>
      <c r="P1025" s="510">
        <v>0</v>
      </c>
      <c r="Q1025" s="427">
        <f>SUM(E1025:P1025)</f>
        <v>0</v>
      </c>
    </row>
    <row r="1026" spans="1:17" s="222" customFormat="1" x14ac:dyDescent="0.2">
      <c r="A1026" s="259"/>
      <c r="D1026" s="286"/>
      <c r="F1026" s="288"/>
      <c r="G1026" s="469"/>
      <c r="H1026" s="288"/>
      <c r="I1026" s="293"/>
      <c r="J1026" s="288"/>
      <c r="K1026" s="288"/>
      <c r="L1026" s="288"/>
      <c r="M1026" s="288"/>
      <c r="N1026" s="288"/>
      <c r="O1026" s="288"/>
      <c r="P1026" s="288"/>
      <c r="Q1026" s="469"/>
    </row>
    <row r="1027" spans="1:17" s="222" customFormat="1" ht="10.8" thickBot="1" x14ac:dyDescent="0.25">
      <c r="A1027" s="717">
        <f>A1025+1</f>
        <v>19</v>
      </c>
      <c r="B1027" s="489"/>
      <c r="C1027" s="718" t="s">
        <v>205</v>
      </c>
      <c r="D1027" s="719"/>
      <c r="E1027" s="492">
        <f t="shared" ref="E1027:P1027" si="317">E1023+E1025</f>
        <v>56240.81</v>
      </c>
      <c r="F1027" s="492">
        <f t="shared" si="317"/>
        <v>55560.229999999996</v>
      </c>
      <c r="G1027" s="492">
        <f t="shared" si="317"/>
        <v>48637.22</v>
      </c>
      <c r="H1027" s="492">
        <f t="shared" si="317"/>
        <v>36734.82</v>
      </c>
      <c r="I1027" s="492">
        <f t="shared" si="317"/>
        <v>34282.35</v>
      </c>
      <c r="J1027" s="492">
        <f t="shared" si="317"/>
        <v>25411.96</v>
      </c>
      <c r="K1027" s="492">
        <f t="shared" si="317"/>
        <v>28075.95</v>
      </c>
      <c r="L1027" s="492">
        <f t="shared" si="317"/>
        <v>24805.190000000002</v>
      </c>
      <c r="M1027" s="492">
        <f t="shared" si="317"/>
        <v>26197.37</v>
      </c>
      <c r="N1027" s="492">
        <f t="shared" si="317"/>
        <v>32885.299999999996</v>
      </c>
      <c r="O1027" s="492">
        <f t="shared" si="317"/>
        <v>41099.089999999997</v>
      </c>
      <c r="P1027" s="492">
        <f t="shared" si="317"/>
        <v>46770.81</v>
      </c>
      <c r="Q1027" s="492">
        <f>SUM(E1027:P1027)</f>
        <v>456701.10000000003</v>
      </c>
    </row>
    <row r="1028" spans="1:17" s="222" customFormat="1" ht="10.8" thickTop="1" x14ac:dyDescent="0.2">
      <c r="A1028" s="259"/>
      <c r="D1028" s="286"/>
      <c r="F1028" s="288"/>
      <c r="G1028" s="469"/>
      <c r="H1028" s="288"/>
      <c r="I1028" s="293"/>
      <c r="J1028" s="288"/>
      <c r="K1028" s="288"/>
      <c r="L1028" s="288"/>
      <c r="M1028" s="288"/>
      <c r="N1028" s="288"/>
      <c r="O1028" s="288"/>
      <c r="P1028" s="288"/>
      <c r="Q1028" s="469"/>
    </row>
    <row r="1029" spans="1:17" s="222" customFormat="1" x14ac:dyDescent="0.2">
      <c r="A1029" s="259">
        <f>A1027+1</f>
        <v>20</v>
      </c>
      <c r="B1029" s="222" t="str">
        <f>B285</f>
        <v>GDS</v>
      </c>
      <c r="C1029" s="222" t="str">
        <f>C285</f>
        <v>GTS Grandfathered Delivery Service - Industrial</v>
      </c>
      <c r="D1029" s="286"/>
      <c r="F1029" s="288"/>
      <c r="G1029" s="469"/>
      <c r="H1029" s="288"/>
      <c r="I1029" s="293"/>
      <c r="J1029" s="288"/>
      <c r="K1029" s="288"/>
      <c r="L1029" s="288"/>
      <c r="M1029" s="288"/>
      <c r="N1029" s="288"/>
      <c r="O1029" s="288"/>
      <c r="P1029" s="288"/>
    </row>
    <row r="1030" spans="1:17" s="222" customFormat="1" x14ac:dyDescent="0.2">
      <c r="A1030" s="259"/>
      <c r="D1030" s="286"/>
      <c r="F1030" s="288"/>
      <c r="G1030" s="469"/>
      <c r="H1030" s="288"/>
      <c r="I1030" s="293"/>
      <c r="J1030" s="288"/>
      <c r="K1030" s="288"/>
      <c r="L1030" s="288"/>
      <c r="M1030" s="288"/>
      <c r="N1030" s="288"/>
      <c r="O1030" s="288"/>
      <c r="P1030" s="288"/>
    </row>
    <row r="1031" spans="1:17" s="222" customFormat="1" x14ac:dyDescent="0.2">
      <c r="A1031" s="259">
        <f>A1029+1</f>
        <v>21</v>
      </c>
      <c r="C1031" s="262" t="s">
        <v>112</v>
      </c>
      <c r="D1031" s="286"/>
      <c r="F1031" s="288"/>
      <c r="G1031" s="469"/>
      <c r="H1031" s="288"/>
      <c r="I1031" s="293"/>
      <c r="J1031" s="288"/>
      <c r="K1031" s="288"/>
      <c r="L1031" s="288"/>
      <c r="M1031" s="288"/>
      <c r="N1031" s="288"/>
      <c r="O1031" s="288"/>
      <c r="P1031" s="288"/>
    </row>
    <row r="1032" spans="1:17" s="222" customFormat="1" x14ac:dyDescent="0.2">
      <c r="A1032" s="259"/>
      <c r="C1032" s="262"/>
      <c r="D1032" s="286"/>
      <c r="F1032" s="288"/>
      <c r="G1032" s="469"/>
      <c r="H1032" s="288"/>
      <c r="I1032" s="293"/>
      <c r="J1032" s="288"/>
      <c r="K1032" s="288"/>
      <c r="L1032" s="288"/>
      <c r="M1032" s="288"/>
      <c r="N1032" s="288"/>
      <c r="O1032" s="288"/>
      <c r="P1032" s="288"/>
    </row>
    <row r="1033" spans="1:17" s="222" customFormat="1" x14ac:dyDescent="0.2">
      <c r="A1033" s="259">
        <f>A1031+1</f>
        <v>22</v>
      </c>
      <c r="C1033" s="222" t="s">
        <v>202</v>
      </c>
      <c r="D1033" s="286"/>
      <c r="E1033" s="472">
        <f>B!D200</f>
        <v>15</v>
      </c>
      <c r="F1033" s="472">
        <f>B!E200</f>
        <v>15</v>
      </c>
      <c r="G1033" s="472">
        <f>B!F200</f>
        <v>15</v>
      </c>
      <c r="H1033" s="472">
        <f>B!G200</f>
        <v>15</v>
      </c>
      <c r="I1033" s="472">
        <f>B!H200</f>
        <v>15</v>
      </c>
      <c r="J1033" s="472">
        <f>B!I200</f>
        <v>15</v>
      </c>
      <c r="K1033" s="472">
        <f>B!J200</f>
        <v>15</v>
      </c>
      <c r="L1033" s="472">
        <f>B!K200</f>
        <v>15</v>
      </c>
      <c r="M1033" s="472">
        <f>B!L200</f>
        <v>15</v>
      </c>
      <c r="N1033" s="472">
        <f>B!M200</f>
        <v>15</v>
      </c>
      <c r="O1033" s="472">
        <f>B!N200</f>
        <v>15</v>
      </c>
      <c r="P1033" s="472">
        <f>B!O200</f>
        <v>15</v>
      </c>
      <c r="Q1033" s="472">
        <f>SUM(E1033:P1033)</f>
        <v>180</v>
      </c>
    </row>
    <row r="1034" spans="1:17" s="222" customFormat="1" x14ac:dyDescent="0.2">
      <c r="A1034" s="259">
        <f>A1033+1</f>
        <v>23</v>
      </c>
      <c r="C1034" s="222" t="s">
        <v>210</v>
      </c>
      <c r="D1034" s="781">
        <f>Input!U47</f>
        <v>44.69</v>
      </c>
      <c r="E1034" s="427">
        <f t="shared" ref="E1034:P1034" si="318">ROUND(E1033*$D$1034,2)</f>
        <v>670.35</v>
      </c>
      <c r="F1034" s="427">
        <f t="shared" si="318"/>
        <v>670.35</v>
      </c>
      <c r="G1034" s="427">
        <f t="shared" si="318"/>
        <v>670.35</v>
      </c>
      <c r="H1034" s="427">
        <f t="shared" si="318"/>
        <v>670.35</v>
      </c>
      <c r="I1034" s="427">
        <f t="shared" si="318"/>
        <v>670.35</v>
      </c>
      <c r="J1034" s="427">
        <f t="shared" si="318"/>
        <v>670.35</v>
      </c>
      <c r="K1034" s="427">
        <f t="shared" si="318"/>
        <v>670.35</v>
      </c>
      <c r="L1034" s="427">
        <f t="shared" si="318"/>
        <v>670.35</v>
      </c>
      <c r="M1034" s="427">
        <f t="shared" si="318"/>
        <v>670.35</v>
      </c>
      <c r="N1034" s="427">
        <f t="shared" si="318"/>
        <v>670.35</v>
      </c>
      <c r="O1034" s="427">
        <f t="shared" si="318"/>
        <v>670.35</v>
      </c>
      <c r="P1034" s="427">
        <f t="shared" si="318"/>
        <v>670.35</v>
      </c>
      <c r="Q1034" s="427">
        <f>SUM(E1034:P1034)</f>
        <v>8044.2000000000016</v>
      </c>
    </row>
    <row r="1035" spans="1:17" s="222" customFormat="1" x14ac:dyDescent="0.2">
      <c r="A1035" s="259">
        <f>A1034+1</f>
        <v>24</v>
      </c>
      <c r="C1035" s="222" t="s">
        <v>217</v>
      </c>
      <c r="D1035" s="781">
        <f>Input!V47</f>
        <v>0</v>
      </c>
      <c r="E1035" s="427">
        <f t="shared" ref="E1035:P1035" si="319">ROUND(E1033*$D$1035,2)</f>
        <v>0</v>
      </c>
      <c r="F1035" s="427">
        <f t="shared" si="319"/>
        <v>0</v>
      </c>
      <c r="G1035" s="427">
        <f t="shared" si="319"/>
        <v>0</v>
      </c>
      <c r="H1035" s="427">
        <f t="shared" si="319"/>
        <v>0</v>
      </c>
      <c r="I1035" s="427">
        <f t="shared" si="319"/>
        <v>0</v>
      </c>
      <c r="J1035" s="427">
        <f t="shared" si="319"/>
        <v>0</v>
      </c>
      <c r="K1035" s="427">
        <f t="shared" si="319"/>
        <v>0</v>
      </c>
      <c r="L1035" s="427">
        <f t="shared" si="319"/>
        <v>0</v>
      </c>
      <c r="M1035" s="427">
        <f t="shared" si="319"/>
        <v>0</v>
      </c>
      <c r="N1035" s="427">
        <f t="shared" si="319"/>
        <v>0</v>
      </c>
      <c r="O1035" s="427">
        <f t="shared" si="319"/>
        <v>0</v>
      </c>
      <c r="P1035" s="427">
        <f t="shared" si="319"/>
        <v>0</v>
      </c>
      <c r="Q1035" s="427">
        <f>SUM(E1035:P1035)</f>
        <v>0</v>
      </c>
    </row>
    <row r="1036" spans="1:17" s="222" customFormat="1" x14ac:dyDescent="0.2">
      <c r="A1036" s="259">
        <f>A1035+1</f>
        <v>25</v>
      </c>
      <c r="C1036" s="222" t="s">
        <v>211</v>
      </c>
      <c r="D1036" s="781">
        <f>Input!W47</f>
        <v>0</v>
      </c>
      <c r="E1036" s="427">
        <f t="shared" ref="E1036:P1036" si="320">ROUND(E1033*$D$1036,2)</f>
        <v>0</v>
      </c>
      <c r="F1036" s="427">
        <f t="shared" si="320"/>
        <v>0</v>
      </c>
      <c r="G1036" s="427">
        <f t="shared" si="320"/>
        <v>0</v>
      </c>
      <c r="H1036" s="427">
        <f t="shared" si="320"/>
        <v>0</v>
      </c>
      <c r="I1036" s="427">
        <f t="shared" si="320"/>
        <v>0</v>
      </c>
      <c r="J1036" s="427">
        <f t="shared" si="320"/>
        <v>0</v>
      </c>
      <c r="K1036" s="427">
        <f t="shared" si="320"/>
        <v>0</v>
      </c>
      <c r="L1036" s="427">
        <f t="shared" si="320"/>
        <v>0</v>
      </c>
      <c r="M1036" s="427">
        <f t="shared" si="320"/>
        <v>0</v>
      </c>
      <c r="N1036" s="427">
        <f t="shared" si="320"/>
        <v>0</v>
      </c>
      <c r="O1036" s="427">
        <f t="shared" si="320"/>
        <v>0</v>
      </c>
      <c r="P1036" s="427">
        <f t="shared" si="320"/>
        <v>0</v>
      </c>
      <c r="Q1036" s="427">
        <f>SUM(E1036:P1036)</f>
        <v>0</v>
      </c>
    </row>
    <row r="1037" spans="1:17" s="222" customFormat="1" x14ac:dyDescent="0.2">
      <c r="A1037" s="259"/>
      <c r="D1037" s="286"/>
      <c r="E1037" s="427"/>
      <c r="F1037" s="427"/>
      <c r="G1037" s="427"/>
      <c r="H1037" s="427"/>
      <c r="I1037" s="427"/>
      <c r="J1037" s="427"/>
      <c r="K1037" s="427"/>
      <c r="L1037" s="427"/>
      <c r="M1037" s="427"/>
      <c r="N1037" s="427"/>
      <c r="O1037" s="427"/>
      <c r="P1037" s="427"/>
      <c r="Q1037" s="427"/>
    </row>
    <row r="1038" spans="1:17" s="222" customFormat="1" x14ac:dyDescent="0.2">
      <c r="A1038" s="259">
        <f>A1036+1</f>
        <v>26</v>
      </c>
      <c r="C1038" s="222" t="s">
        <v>209</v>
      </c>
      <c r="D1038" s="286"/>
    </row>
    <row r="1039" spans="1:17" s="222" customFormat="1" x14ac:dyDescent="0.2">
      <c r="A1039" s="259">
        <f>A1038+1</f>
        <v>27</v>
      </c>
      <c r="C1039" s="222" t="str">
        <f>'C'!B311</f>
        <v xml:space="preserve">    First 50 Mcf</v>
      </c>
      <c r="D1039" s="286"/>
      <c r="E1039" s="476">
        <f>'C'!D323</f>
        <v>609.9</v>
      </c>
      <c r="F1039" s="476">
        <f>'C'!E323</f>
        <v>622.4</v>
      </c>
      <c r="G1039" s="476">
        <f>'C'!F323</f>
        <v>750</v>
      </c>
      <c r="H1039" s="476">
        <f>'C'!G323</f>
        <v>735.6</v>
      </c>
      <c r="I1039" s="476">
        <f>'C'!H323</f>
        <v>694.2</v>
      </c>
      <c r="J1039" s="476">
        <f>'C'!I323</f>
        <v>473.6</v>
      </c>
      <c r="K1039" s="476">
        <f>'C'!J323</f>
        <v>460</v>
      </c>
      <c r="L1039" s="476">
        <f>'C'!K323</f>
        <v>510.6</v>
      </c>
      <c r="M1039" s="476">
        <f>'C'!L323</f>
        <v>530.29999999999995</v>
      </c>
      <c r="N1039" s="476">
        <f>'C'!M323</f>
        <v>604.5</v>
      </c>
      <c r="O1039" s="476">
        <f>'C'!N323</f>
        <v>606.1</v>
      </c>
      <c r="P1039" s="476">
        <f>'C'!O323</f>
        <v>666.9</v>
      </c>
      <c r="Q1039" s="476">
        <f>SUM(E1039:P1039)</f>
        <v>7264.1000000000013</v>
      </c>
    </row>
    <row r="1040" spans="1:17" s="222" customFormat="1" x14ac:dyDescent="0.2">
      <c r="A1040" s="259">
        <f>A1039+1</f>
        <v>28</v>
      </c>
      <c r="C1040" s="222" t="str">
        <f>'C'!B312</f>
        <v xml:space="preserve">    Next 350 Mcf</v>
      </c>
      <c r="D1040" s="512"/>
      <c r="E1040" s="476">
        <f>'C'!D324</f>
        <v>3896.3</v>
      </c>
      <c r="F1040" s="476">
        <f>'C'!E324</f>
        <v>3965.4</v>
      </c>
      <c r="G1040" s="476">
        <f>'C'!F324</f>
        <v>4483.7</v>
      </c>
      <c r="H1040" s="476">
        <f>'C'!G324</f>
        <v>4484.3999999999996</v>
      </c>
      <c r="I1040" s="476">
        <f>'C'!H324</f>
        <v>3857.7</v>
      </c>
      <c r="J1040" s="476">
        <f>'C'!I324</f>
        <v>2799.5</v>
      </c>
      <c r="K1040" s="476">
        <f>'C'!J324</f>
        <v>2736.4</v>
      </c>
      <c r="L1040" s="476">
        <f>'C'!K324</f>
        <v>3003.2</v>
      </c>
      <c r="M1040" s="476">
        <f>'C'!L324</f>
        <v>2907</v>
      </c>
      <c r="N1040" s="476">
        <f>'C'!M324</f>
        <v>3132.7</v>
      </c>
      <c r="O1040" s="476">
        <f>'C'!N324</f>
        <v>3912.5</v>
      </c>
      <c r="P1040" s="476">
        <f>'C'!O324</f>
        <v>4183.5</v>
      </c>
      <c r="Q1040" s="476">
        <f>SUM(E1040:P1040)</f>
        <v>43362.3</v>
      </c>
    </row>
    <row r="1041" spans="1:17" s="222" customFormat="1" x14ac:dyDescent="0.2">
      <c r="A1041" s="259">
        <f>A1040+1</f>
        <v>29</v>
      </c>
      <c r="C1041" s="222" t="str">
        <f>'C'!B313</f>
        <v xml:space="preserve">    Next 600 Mcf</v>
      </c>
      <c r="D1041" s="512"/>
      <c r="E1041" s="476">
        <f>'C'!D325</f>
        <v>5621.7</v>
      </c>
      <c r="F1041" s="476">
        <f>'C'!E325</f>
        <v>5802.3</v>
      </c>
      <c r="G1041" s="476">
        <f>'C'!F325</f>
        <v>6622.1</v>
      </c>
      <c r="H1041" s="476">
        <f>'C'!G325</f>
        <v>5166.3999999999996</v>
      </c>
      <c r="I1041" s="476">
        <f>'C'!H325</f>
        <v>4115.7</v>
      </c>
      <c r="J1041" s="476">
        <f>'C'!I325</f>
        <v>2754.1</v>
      </c>
      <c r="K1041" s="476">
        <f>'C'!J325</f>
        <v>2958.6</v>
      </c>
      <c r="L1041" s="476">
        <f>'C'!K325</f>
        <v>3457.3</v>
      </c>
      <c r="M1041" s="476">
        <f>'C'!L325</f>
        <v>3411.2</v>
      </c>
      <c r="N1041" s="476">
        <f>'C'!M325</f>
        <v>3405.2</v>
      </c>
      <c r="O1041" s="476">
        <f>'C'!N325</f>
        <v>4279.3999999999996</v>
      </c>
      <c r="P1041" s="476">
        <f>'C'!O325</f>
        <v>5280.7</v>
      </c>
      <c r="Q1041" s="476">
        <f>SUM(E1041:P1041)</f>
        <v>52874.7</v>
      </c>
    </row>
    <row r="1042" spans="1:17" s="222" customFormat="1" x14ac:dyDescent="0.2">
      <c r="A1042" s="259">
        <f>A1041+1</f>
        <v>30</v>
      </c>
      <c r="C1042" s="222" t="str">
        <f>'C'!B314</f>
        <v xml:space="preserve">    Over 1,000 Mcf</v>
      </c>
      <c r="D1042" s="512"/>
      <c r="E1042" s="515">
        <f>'C'!D326</f>
        <v>7716.4</v>
      </c>
      <c r="F1042" s="515">
        <f>'C'!E326</f>
        <v>6439.2</v>
      </c>
      <c r="G1042" s="515">
        <f>'C'!F326</f>
        <v>7195.5</v>
      </c>
      <c r="H1042" s="515">
        <f>'C'!G326</f>
        <v>3680.8</v>
      </c>
      <c r="I1042" s="515">
        <f>'C'!H326</f>
        <v>4450.7</v>
      </c>
      <c r="J1042" s="515">
        <f>'C'!I326</f>
        <v>2848.5</v>
      </c>
      <c r="K1042" s="515">
        <f>'C'!J326</f>
        <v>1893.4</v>
      </c>
      <c r="L1042" s="515">
        <f>'C'!K326</f>
        <v>2095.6999999999998</v>
      </c>
      <c r="M1042" s="515">
        <f>'C'!L326</f>
        <v>2937.8</v>
      </c>
      <c r="N1042" s="515">
        <f>'C'!M326</f>
        <v>2954.3</v>
      </c>
      <c r="O1042" s="515">
        <f>'C'!N326</f>
        <v>3905</v>
      </c>
      <c r="P1042" s="515">
        <f>'C'!O326</f>
        <v>4849.5</v>
      </c>
      <c r="Q1042" s="515">
        <f>SUM(E1042:P1042)</f>
        <v>50966.8</v>
      </c>
    </row>
    <row r="1043" spans="1:17" s="222" customFormat="1" x14ac:dyDescent="0.2">
      <c r="A1043" s="259"/>
      <c r="D1043" s="782"/>
      <c r="E1043" s="476">
        <f t="shared" ref="E1043:P1043" si="321">SUM(E1039:E1042)</f>
        <v>17844.3</v>
      </c>
      <c r="F1043" s="476">
        <f t="shared" si="321"/>
        <v>16829.3</v>
      </c>
      <c r="G1043" s="476">
        <f t="shared" si="321"/>
        <v>19051.3</v>
      </c>
      <c r="H1043" s="476">
        <f t="shared" si="321"/>
        <v>14067.2</v>
      </c>
      <c r="I1043" s="476">
        <f t="shared" si="321"/>
        <v>13118.3</v>
      </c>
      <c r="J1043" s="476">
        <f t="shared" si="321"/>
        <v>8875.7000000000007</v>
      </c>
      <c r="K1043" s="476">
        <f t="shared" si="321"/>
        <v>8048.4</v>
      </c>
      <c r="L1043" s="476">
        <f t="shared" si="321"/>
        <v>9066.7999999999993</v>
      </c>
      <c r="M1043" s="476">
        <f t="shared" si="321"/>
        <v>9786.2999999999993</v>
      </c>
      <c r="N1043" s="476">
        <f t="shared" si="321"/>
        <v>10096.700000000001</v>
      </c>
      <c r="O1043" s="476">
        <f t="shared" si="321"/>
        <v>12703</v>
      </c>
      <c r="P1043" s="476">
        <f t="shared" si="321"/>
        <v>14980.599999999999</v>
      </c>
      <c r="Q1043" s="476">
        <f>SUM(E1043:P1043)</f>
        <v>154467.9</v>
      </c>
    </row>
    <row r="1044" spans="1:17" s="222" customFormat="1" x14ac:dyDescent="0.2">
      <c r="A1044" s="259">
        <f>A1042+1</f>
        <v>31</v>
      </c>
      <c r="C1044" s="222" t="s">
        <v>207</v>
      </c>
      <c r="D1044" s="512"/>
      <c r="F1044" s="288"/>
      <c r="G1044" s="469"/>
      <c r="H1044" s="288"/>
      <c r="I1044" s="293"/>
      <c r="J1044" s="288"/>
      <c r="K1044" s="288"/>
      <c r="L1044" s="288"/>
      <c r="M1044" s="288"/>
      <c r="N1044" s="288"/>
      <c r="O1044" s="288"/>
      <c r="P1044" s="288"/>
      <c r="Q1044" s="536"/>
    </row>
    <row r="1045" spans="1:17" s="222" customFormat="1" x14ac:dyDescent="0.2">
      <c r="A1045" s="259">
        <f>A1044+1</f>
        <v>32</v>
      </c>
      <c r="C1045" s="222" t="str">
        <f>C1039</f>
        <v xml:space="preserve">    First 50 Mcf</v>
      </c>
      <c r="D1045" s="782">
        <f>Input!P47</f>
        <v>3.0331999999999999</v>
      </c>
      <c r="E1045" s="427">
        <f t="shared" ref="E1045:P1045" si="322">ROUND(E1039*$D$1045,2)</f>
        <v>1849.95</v>
      </c>
      <c r="F1045" s="427">
        <f t="shared" si="322"/>
        <v>1887.86</v>
      </c>
      <c r="G1045" s="427">
        <f t="shared" si="322"/>
        <v>2274.9</v>
      </c>
      <c r="H1045" s="427">
        <f t="shared" si="322"/>
        <v>2231.2199999999998</v>
      </c>
      <c r="I1045" s="427">
        <f t="shared" si="322"/>
        <v>2105.65</v>
      </c>
      <c r="J1045" s="427">
        <f t="shared" si="322"/>
        <v>1436.52</v>
      </c>
      <c r="K1045" s="427">
        <f t="shared" si="322"/>
        <v>1395.27</v>
      </c>
      <c r="L1045" s="427">
        <f t="shared" si="322"/>
        <v>1548.75</v>
      </c>
      <c r="M1045" s="427">
        <f t="shared" si="322"/>
        <v>1608.51</v>
      </c>
      <c r="N1045" s="427">
        <f t="shared" si="322"/>
        <v>1833.57</v>
      </c>
      <c r="O1045" s="427">
        <f t="shared" si="322"/>
        <v>1838.42</v>
      </c>
      <c r="P1045" s="427">
        <f t="shared" si="322"/>
        <v>2022.84</v>
      </c>
      <c r="Q1045" s="427">
        <f>SUM(E1045:P1045)</f>
        <v>22033.460000000003</v>
      </c>
    </row>
    <row r="1046" spans="1:17" s="222" customFormat="1" x14ac:dyDescent="0.2">
      <c r="A1046" s="259">
        <f>A1045+1</f>
        <v>33</v>
      </c>
      <c r="C1046" s="222" t="str">
        <f>C1040</f>
        <v xml:space="preserve">    Next 350 Mcf</v>
      </c>
      <c r="D1046" s="782">
        <f>Input!Q47</f>
        <v>2.3445999999999998</v>
      </c>
      <c r="E1046" s="472">
        <f t="shared" ref="E1046:P1046" si="323">ROUND(E1040*$D$1046,2)</f>
        <v>9135.26</v>
      </c>
      <c r="F1046" s="472">
        <f t="shared" si="323"/>
        <v>9297.2800000000007</v>
      </c>
      <c r="G1046" s="472">
        <f t="shared" si="323"/>
        <v>10512.48</v>
      </c>
      <c r="H1046" s="472">
        <f t="shared" si="323"/>
        <v>10514.12</v>
      </c>
      <c r="I1046" s="472">
        <f t="shared" si="323"/>
        <v>9044.76</v>
      </c>
      <c r="J1046" s="472">
        <f t="shared" si="323"/>
        <v>6563.71</v>
      </c>
      <c r="K1046" s="472">
        <f t="shared" si="323"/>
        <v>6415.76</v>
      </c>
      <c r="L1046" s="472">
        <f t="shared" si="323"/>
        <v>7041.3</v>
      </c>
      <c r="M1046" s="472">
        <f t="shared" si="323"/>
        <v>6815.75</v>
      </c>
      <c r="N1046" s="472">
        <f t="shared" si="323"/>
        <v>7344.93</v>
      </c>
      <c r="O1046" s="472">
        <f t="shared" si="323"/>
        <v>9173.25</v>
      </c>
      <c r="P1046" s="472">
        <f t="shared" si="323"/>
        <v>9808.6299999999992</v>
      </c>
      <c r="Q1046" s="472">
        <f>SUM(E1046:P1046)</f>
        <v>101667.23000000001</v>
      </c>
    </row>
    <row r="1047" spans="1:17" s="222" customFormat="1" x14ac:dyDescent="0.2">
      <c r="A1047" s="259">
        <f>A1046+1</f>
        <v>34</v>
      </c>
      <c r="C1047" s="222" t="str">
        <f>C1041</f>
        <v xml:space="preserve">    Next 600 Mcf</v>
      </c>
      <c r="D1047" s="782">
        <f>Input!R47</f>
        <v>2.2294</v>
      </c>
      <c r="E1047" s="472">
        <f t="shared" ref="E1047:O1047" si="324">ROUND(E1041*$D$1047,2)</f>
        <v>12533.02</v>
      </c>
      <c r="F1047" s="472">
        <f t="shared" si="324"/>
        <v>12935.65</v>
      </c>
      <c r="G1047" s="472">
        <f t="shared" si="324"/>
        <v>14763.31</v>
      </c>
      <c r="H1047" s="472">
        <f t="shared" si="324"/>
        <v>11517.97</v>
      </c>
      <c r="I1047" s="472">
        <f t="shared" si="324"/>
        <v>9175.5400000000009</v>
      </c>
      <c r="J1047" s="472">
        <f t="shared" si="324"/>
        <v>6139.99</v>
      </c>
      <c r="K1047" s="472">
        <f t="shared" si="324"/>
        <v>6595.9</v>
      </c>
      <c r="L1047" s="472">
        <f t="shared" si="324"/>
        <v>7707.7</v>
      </c>
      <c r="M1047" s="472">
        <f t="shared" si="324"/>
        <v>7604.93</v>
      </c>
      <c r="N1047" s="472">
        <f t="shared" si="324"/>
        <v>7591.55</v>
      </c>
      <c r="O1047" s="472">
        <f t="shared" si="324"/>
        <v>9540.49</v>
      </c>
      <c r="P1047" s="472">
        <f>ROUND(P1041*$D$1047,2)</f>
        <v>11772.79</v>
      </c>
      <c r="Q1047" s="472">
        <f>SUM(E1047:P1047)</f>
        <v>117878.84</v>
      </c>
    </row>
    <row r="1048" spans="1:17" s="222" customFormat="1" ht="12" x14ac:dyDescent="0.35">
      <c r="A1048" s="259">
        <f>A1047+1</f>
        <v>35</v>
      </c>
      <c r="C1048" s="222" t="str">
        <f>C1042</f>
        <v xml:space="preserve">    Over 1,000 Mcf</v>
      </c>
      <c r="D1048" s="782">
        <f>Input!S47</f>
        <v>2.0294000000000003</v>
      </c>
      <c r="E1048" s="521">
        <f t="shared" ref="E1048:O1048" si="325">ROUND(E1042*$D$1048,2)</f>
        <v>15659.66</v>
      </c>
      <c r="F1048" s="521">
        <f t="shared" si="325"/>
        <v>13067.71</v>
      </c>
      <c r="G1048" s="521">
        <f t="shared" si="325"/>
        <v>14602.55</v>
      </c>
      <c r="H1048" s="521">
        <f t="shared" si="325"/>
        <v>7469.82</v>
      </c>
      <c r="I1048" s="521">
        <f t="shared" si="325"/>
        <v>9032.25</v>
      </c>
      <c r="J1048" s="521">
        <f t="shared" si="325"/>
        <v>5780.75</v>
      </c>
      <c r="K1048" s="521">
        <f t="shared" si="325"/>
        <v>3842.47</v>
      </c>
      <c r="L1048" s="521">
        <f t="shared" si="325"/>
        <v>4253.01</v>
      </c>
      <c r="M1048" s="521">
        <f t="shared" si="325"/>
        <v>5961.97</v>
      </c>
      <c r="N1048" s="521">
        <f t="shared" si="325"/>
        <v>5995.46</v>
      </c>
      <c r="O1048" s="521">
        <f t="shared" si="325"/>
        <v>7924.81</v>
      </c>
      <c r="P1048" s="521">
        <f>ROUND(P1042*$D$1048,2)</f>
        <v>9841.58</v>
      </c>
      <c r="Q1048" s="739">
        <f>SUM(E1048:P1048)</f>
        <v>103432.04</v>
      </c>
    </row>
    <row r="1049" spans="1:17" s="222" customFormat="1" x14ac:dyDescent="0.2">
      <c r="A1049" s="259"/>
      <c r="D1049" s="512"/>
      <c r="E1049" s="427">
        <f t="shared" ref="E1049:P1049" si="326">SUM(E1045:E1048)</f>
        <v>39177.89</v>
      </c>
      <c r="F1049" s="427">
        <f t="shared" si="326"/>
        <v>37188.5</v>
      </c>
      <c r="G1049" s="427">
        <f t="shared" si="326"/>
        <v>42153.24</v>
      </c>
      <c r="H1049" s="427">
        <f t="shared" si="326"/>
        <v>31733.129999999997</v>
      </c>
      <c r="I1049" s="427">
        <f t="shared" si="326"/>
        <v>29358.2</v>
      </c>
      <c r="J1049" s="427">
        <f t="shared" si="326"/>
        <v>19920.97</v>
      </c>
      <c r="K1049" s="427">
        <f t="shared" si="326"/>
        <v>18249.400000000001</v>
      </c>
      <c r="L1049" s="427">
        <f t="shared" si="326"/>
        <v>20550.760000000002</v>
      </c>
      <c r="M1049" s="427">
        <f t="shared" si="326"/>
        <v>21991.16</v>
      </c>
      <c r="N1049" s="427">
        <f t="shared" si="326"/>
        <v>22765.51</v>
      </c>
      <c r="O1049" s="427">
        <f t="shared" si="326"/>
        <v>28476.97</v>
      </c>
      <c r="P1049" s="427">
        <f t="shared" si="326"/>
        <v>33445.840000000004</v>
      </c>
      <c r="Q1049" s="427">
        <f>SUM(E1049:P1049)</f>
        <v>345011.57</v>
      </c>
    </row>
    <row r="1050" spans="1:17" s="222" customFormat="1" x14ac:dyDescent="0.2">
      <c r="A1050" s="259"/>
      <c r="D1050" s="512"/>
      <c r="E1050" s="288"/>
      <c r="F1050" s="288"/>
      <c r="G1050" s="288"/>
      <c r="H1050" s="288"/>
      <c r="I1050" s="288"/>
      <c r="J1050" s="288"/>
      <c r="K1050" s="288"/>
      <c r="L1050" s="288"/>
      <c r="M1050" s="288"/>
      <c r="N1050" s="288"/>
      <c r="O1050" s="288"/>
      <c r="P1050" s="288"/>
      <c r="Q1050" s="288"/>
    </row>
    <row r="1051" spans="1:17" s="222" customFormat="1" x14ac:dyDescent="0.2">
      <c r="A1051" s="259">
        <f>A1048+1</f>
        <v>36</v>
      </c>
      <c r="C1051" s="222" t="s">
        <v>204</v>
      </c>
      <c r="D1051" s="512"/>
      <c r="E1051" s="427">
        <f t="shared" ref="E1051:P1051" si="327">E1034+E1035+E1036+E1049</f>
        <v>39848.239999999998</v>
      </c>
      <c r="F1051" s="427">
        <f t="shared" si="327"/>
        <v>37858.85</v>
      </c>
      <c r="G1051" s="427">
        <f t="shared" si="327"/>
        <v>42823.59</v>
      </c>
      <c r="H1051" s="427">
        <f t="shared" si="327"/>
        <v>32403.479999999996</v>
      </c>
      <c r="I1051" s="427">
        <f t="shared" si="327"/>
        <v>30028.55</v>
      </c>
      <c r="J1051" s="427">
        <f t="shared" si="327"/>
        <v>20591.32</v>
      </c>
      <c r="K1051" s="427">
        <f t="shared" si="327"/>
        <v>18919.75</v>
      </c>
      <c r="L1051" s="427">
        <f t="shared" si="327"/>
        <v>21221.11</v>
      </c>
      <c r="M1051" s="427">
        <f t="shared" si="327"/>
        <v>22661.51</v>
      </c>
      <c r="N1051" s="427">
        <f t="shared" si="327"/>
        <v>23435.859999999997</v>
      </c>
      <c r="O1051" s="427">
        <f t="shared" si="327"/>
        <v>29147.32</v>
      </c>
      <c r="P1051" s="427">
        <f t="shared" si="327"/>
        <v>34116.19</v>
      </c>
      <c r="Q1051" s="427">
        <f>SUM(E1051:P1051)</f>
        <v>353055.76999999996</v>
      </c>
    </row>
    <row r="1052" spans="1:17" s="222" customFormat="1" x14ac:dyDescent="0.2">
      <c r="A1052" s="259"/>
      <c r="D1052" s="512"/>
      <c r="E1052" s="730"/>
      <c r="F1052" s="535"/>
      <c r="G1052" s="536"/>
      <c r="H1052" s="535"/>
      <c r="I1052" s="515"/>
      <c r="J1052" s="537"/>
      <c r="K1052" s="535"/>
      <c r="L1052" s="535"/>
      <c r="M1052" s="535"/>
      <c r="N1052" s="535"/>
      <c r="O1052" s="535"/>
      <c r="P1052" s="535"/>
      <c r="Q1052" s="482"/>
    </row>
    <row r="1053" spans="1:17" s="222" customFormat="1" x14ac:dyDescent="0.2">
      <c r="A1053" s="259">
        <f>A1051+1</f>
        <v>37</v>
      </c>
      <c r="C1053" s="222" t="s">
        <v>151</v>
      </c>
      <c r="D1053" s="783">
        <v>0</v>
      </c>
      <c r="E1053" s="510">
        <v>0</v>
      </c>
      <c r="F1053" s="510">
        <v>0</v>
      </c>
      <c r="G1053" s="510">
        <v>0</v>
      </c>
      <c r="H1053" s="510">
        <v>0</v>
      </c>
      <c r="I1053" s="510">
        <v>0</v>
      </c>
      <c r="J1053" s="510">
        <v>0</v>
      </c>
      <c r="K1053" s="510">
        <v>0</v>
      </c>
      <c r="L1053" s="510">
        <v>0</v>
      </c>
      <c r="M1053" s="510">
        <v>0</v>
      </c>
      <c r="N1053" s="510">
        <v>0</v>
      </c>
      <c r="O1053" s="510">
        <v>0</v>
      </c>
      <c r="P1053" s="510">
        <v>0</v>
      </c>
      <c r="Q1053" s="427">
        <f>SUM(E1053:P1053)</f>
        <v>0</v>
      </c>
    </row>
    <row r="1054" spans="1:17" s="222" customFormat="1" x14ac:dyDescent="0.2">
      <c r="A1054" s="259"/>
      <c r="D1054" s="286"/>
      <c r="F1054" s="288"/>
      <c r="G1054" s="469"/>
      <c r="H1054" s="288"/>
      <c r="I1054" s="293"/>
      <c r="J1054" s="288"/>
      <c r="K1054" s="288"/>
      <c r="L1054" s="288"/>
      <c r="M1054" s="288"/>
      <c r="N1054" s="288"/>
      <c r="O1054" s="288"/>
      <c r="P1054" s="288"/>
      <c r="Q1054" s="469"/>
    </row>
    <row r="1055" spans="1:17" s="222" customFormat="1" ht="10.8" thickBot="1" x14ac:dyDescent="0.25">
      <c r="A1055" s="717">
        <f>A1053+1</f>
        <v>38</v>
      </c>
      <c r="B1055" s="489"/>
      <c r="C1055" s="718" t="s">
        <v>205</v>
      </c>
      <c r="D1055" s="719"/>
      <c r="E1055" s="492">
        <f t="shared" ref="E1055:P1055" si="328">E1051+E1053</f>
        <v>39848.239999999998</v>
      </c>
      <c r="F1055" s="492">
        <f t="shared" si="328"/>
        <v>37858.85</v>
      </c>
      <c r="G1055" s="492">
        <f t="shared" si="328"/>
        <v>42823.59</v>
      </c>
      <c r="H1055" s="492">
        <f t="shared" si="328"/>
        <v>32403.479999999996</v>
      </c>
      <c r="I1055" s="492">
        <f t="shared" si="328"/>
        <v>30028.55</v>
      </c>
      <c r="J1055" s="492">
        <f t="shared" si="328"/>
        <v>20591.32</v>
      </c>
      <c r="K1055" s="492">
        <f t="shared" si="328"/>
        <v>18919.75</v>
      </c>
      <c r="L1055" s="492">
        <f t="shared" si="328"/>
        <v>21221.11</v>
      </c>
      <c r="M1055" s="492">
        <f t="shared" si="328"/>
        <v>22661.51</v>
      </c>
      <c r="N1055" s="492">
        <f t="shared" si="328"/>
        <v>23435.859999999997</v>
      </c>
      <c r="O1055" s="492">
        <f t="shared" si="328"/>
        <v>29147.32</v>
      </c>
      <c r="P1055" s="492">
        <f t="shared" si="328"/>
        <v>34116.19</v>
      </c>
      <c r="Q1055" s="492">
        <f>SUM(E1055:P1055)</f>
        <v>353055.76999999996</v>
      </c>
    </row>
    <row r="1056" spans="1:17" s="222" customFormat="1" ht="10.8" thickTop="1" x14ac:dyDescent="0.2">
      <c r="A1056" s="259"/>
      <c r="D1056" s="286"/>
      <c r="F1056" s="288"/>
      <c r="G1056" s="469"/>
      <c r="H1056" s="288"/>
      <c r="I1056" s="293"/>
      <c r="J1056" s="288"/>
      <c r="K1056" s="288"/>
      <c r="L1056" s="288"/>
      <c r="M1056" s="288"/>
      <c r="N1056" s="288"/>
      <c r="O1056" s="288"/>
      <c r="P1056" s="288"/>
    </row>
    <row r="1057" spans="1:17" s="222" customFormat="1" x14ac:dyDescent="0.2">
      <c r="A1057" s="259"/>
      <c r="D1057" s="286"/>
      <c r="F1057" s="288"/>
      <c r="G1057" s="469"/>
      <c r="H1057" s="288"/>
      <c r="I1057" s="293"/>
      <c r="J1057" s="288"/>
      <c r="K1057" s="288"/>
      <c r="L1057" s="288"/>
      <c r="M1057" s="288"/>
      <c r="N1057" s="288"/>
      <c r="O1057" s="288"/>
      <c r="P1057" s="288"/>
    </row>
    <row r="1058" spans="1:17" s="222" customFormat="1" x14ac:dyDescent="0.2">
      <c r="A1058" s="622" t="str">
        <f>$A$265</f>
        <v>[1] Reflects Normalized Volumes.</v>
      </c>
      <c r="D1058" s="286"/>
      <c r="F1058" s="288"/>
      <c r="G1058" s="469"/>
      <c r="H1058" s="288"/>
      <c r="I1058" s="293"/>
      <c r="J1058" s="288"/>
      <c r="K1058" s="288"/>
      <c r="L1058" s="288"/>
      <c r="M1058" s="288"/>
      <c r="N1058" s="288"/>
      <c r="O1058" s="288"/>
      <c r="P1058" s="288"/>
    </row>
    <row r="1059" spans="1:17" s="222" customFormat="1" x14ac:dyDescent="0.2">
      <c r="A1059" s="995" t="str">
        <f>CONAME</f>
        <v>Columbia Gas of Kentucky, Inc.</v>
      </c>
      <c r="B1059" s="995"/>
      <c r="C1059" s="995"/>
      <c r="D1059" s="995"/>
      <c r="E1059" s="995"/>
      <c r="F1059" s="995"/>
      <c r="G1059" s="995"/>
      <c r="H1059" s="995"/>
      <c r="I1059" s="995"/>
      <c r="J1059" s="995"/>
      <c r="K1059" s="995"/>
      <c r="L1059" s="995"/>
      <c r="M1059" s="995"/>
      <c r="N1059" s="995"/>
      <c r="O1059" s="995"/>
      <c r="P1059" s="995"/>
      <c r="Q1059" s="995"/>
    </row>
    <row r="1060" spans="1:17" s="222" customFormat="1" x14ac:dyDescent="0.2">
      <c r="A1060" s="978" t="str">
        <f>case</f>
        <v>Case No. 2016-00162</v>
      </c>
      <c r="B1060" s="978"/>
      <c r="C1060" s="978"/>
      <c r="D1060" s="978"/>
      <c r="E1060" s="978"/>
      <c r="F1060" s="978"/>
      <c r="G1060" s="978"/>
      <c r="H1060" s="978"/>
      <c r="I1060" s="978"/>
      <c r="J1060" s="978"/>
      <c r="K1060" s="978"/>
      <c r="L1060" s="978"/>
      <c r="M1060" s="978"/>
      <c r="N1060" s="978"/>
      <c r="O1060" s="978"/>
      <c r="P1060" s="978"/>
      <c r="Q1060" s="978"/>
    </row>
    <row r="1061" spans="1:17" s="222" customFormat="1" x14ac:dyDescent="0.2">
      <c r="A1061" s="996" t="s">
        <v>200</v>
      </c>
      <c r="B1061" s="996"/>
      <c r="C1061" s="996"/>
      <c r="D1061" s="996"/>
      <c r="E1061" s="996"/>
      <c r="F1061" s="996"/>
      <c r="G1061" s="996"/>
      <c r="H1061" s="996"/>
      <c r="I1061" s="996"/>
      <c r="J1061" s="996"/>
      <c r="K1061" s="996"/>
      <c r="L1061" s="996"/>
      <c r="M1061" s="996"/>
      <c r="N1061" s="996"/>
      <c r="O1061" s="996"/>
      <c r="P1061" s="996"/>
      <c r="Q1061" s="996"/>
    </row>
    <row r="1062" spans="1:17" s="222" customFormat="1" x14ac:dyDescent="0.2">
      <c r="A1062" s="995" t="str">
        <f>TYDESC</f>
        <v>For the 12 Months Ended December 31, 2017</v>
      </c>
      <c r="B1062" s="995"/>
      <c r="C1062" s="995"/>
      <c r="D1062" s="995"/>
      <c r="E1062" s="995"/>
      <c r="F1062" s="995"/>
      <c r="G1062" s="995"/>
      <c r="H1062" s="995"/>
      <c r="I1062" s="995"/>
      <c r="J1062" s="995"/>
      <c r="K1062" s="995"/>
      <c r="L1062" s="995"/>
      <c r="M1062" s="995"/>
      <c r="N1062" s="995"/>
      <c r="O1062" s="995"/>
      <c r="P1062" s="995"/>
      <c r="Q1062" s="995"/>
    </row>
    <row r="1063" spans="1:17" s="222" customFormat="1" x14ac:dyDescent="0.2">
      <c r="A1063" s="997" t="s">
        <v>39</v>
      </c>
      <c r="B1063" s="997"/>
      <c r="C1063" s="997"/>
      <c r="D1063" s="997"/>
      <c r="E1063" s="997"/>
      <c r="F1063" s="997"/>
      <c r="G1063" s="997"/>
      <c r="H1063" s="997"/>
      <c r="I1063" s="997"/>
      <c r="J1063" s="997"/>
      <c r="K1063" s="997"/>
      <c r="L1063" s="997"/>
      <c r="M1063" s="997"/>
      <c r="N1063" s="997"/>
      <c r="O1063" s="997"/>
      <c r="P1063" s="997"/>
      <c r="Q1063" s="997"/>
    </row>
    <row r="1064" spans="1:17" s="222" customFormat="1" x14ac:dyDescent="0.2">
      <c r="A1064" s="711" t="str">
        <f>$A$52</f>
        <v>Data: __ Base Period _X_ Forecasted Period</v>
      </c>
      <c r="D1064" s="286"/>
      <c r="F1064" s="288"/>
      <c r="G1064" s="469"/>
      <c r="H1064" s="288"/>
      <c r="I1064" s="293"/>
      <c r="J1064" s="288"/>
      <c r="K1064" s="288"/>
      <c r="L1064" s="288"/>
      <c r="M1064" s="288"/>
      <c r="N1064" s="288"/>
      <c r="O1064" s="288"/>
      <c r="P1064" s="288"/>
    </row>
    <row r="1065" spans="1:17" s="222" customFormat="1" x14ac:dyDescent="0.2">
      <c r="A1065" s="711" t="str">
        <f>$A$53</f>
        <v>Type of Filing: X Original _ Update _ Revised</v>
      </c>
      <c r="D1065" s="286"/>
      <c r="F1065" s="288"/>
      <c r="G1065" s="469"/>
      <c r="H1065" s="288"/>
      <c r="I1065" s="293"/>
      <c r="J1065" s="288"/>
      <c r="K1065" s="288"/>
      <c r="L1065" s="288"/>
      <c r="M1065" s="288"/>
      <c r="N1065" s="288"/>
      <c r="O1065" s="288"/>
      <c r="P1065" s="288"/>
      <c r="Q1065" s="720" t="str">
        <f>$Q$53</f>
        <v>Schedule M-2.3</v>
      </c>
    </row>
    <row r="1066" spans="1:17" s="222" customFormat="1" x14ac:dyDescent="0.2">
      <c r="A1066" s="711" t="str">
        <f>$A$54</f>
        <v>Work Paper Reference No(s):</v>
      </c>
      <c r="D1066" s="286"/>
      <c r="F1066" s="288"/>
      <c r="G1066" s="469"/>
      <c r="H1066" s="288"/>
      <c r="I1066" s="293"/>
      <c r="J1066" s="288"/>
      <c r="K1066" s="288"/>
      <c r="L1066" s="288"/>
      <c r="M1066" s="288"/>
      <c r="N1066" s="288"/>
      <c r="O1066" s="288"/>
      <c r="P1066" s="288"/>
      <c r="Q1066" s="720" t="s">
        <v>509</v>
      </c>
    </row>
    <row r="1067" spans="1:17" s="222" customFormat="1" x14ac:dyDescent="0.2">
      <c r="A1067" s="712" t="str">
        <f>$A$55</f>
        <v>12 Months Forecasted</v>
      </c>
      <c r="D1067" s="286"/>
      <c r="F1067" s="288"/>
      <c r="G1067" s="469"/>
      <c r="H1067" s="288"/>
      <c r="I1067" s="293"/>
      <c r="J1067" s="288"/>
      <c r="K1067" s="288"/>
      <c r="L1067" s="288"/>
      <c r="M1067" s="288"/>
      <c r="N1067" s="288"/>
      <c r="O1067" s="288"/>
      <c r="P1067" s="288"/>
      <c r="Q1067" s="720" t="str">
        <f>Witness</f>
        <v>Witness:  M. J. Bell</v>
      </c>
    </row>
    <row r="1068" spans="1:17" s="222" customFormat="1" x14ac:dyDescent="0.2">
      <c r="A1068" s="998" t="s">
        <v>293</v>
      </c>
      <c r="B1068" s="998"/>
      <c r="C1068" s="998"/>
      <c r="D1068" s="998"/>
      <c r="E1068" s="998"/>
      <c r="F1068" s="998"/>
      <c r="G1068" s="998"/>
      <c r="H1068" s="998"/>
      <c r="I1068" s="998"/>
      <c r="J1068" s="998"/>
      <c r="K1068" s="998"/>
      <c r="L1068" s="998"/>
      <c r="M1068" s="998"/>
      <c r="N1068" s="998"/>
      <c r="O1068" s="998"/>
      <c r="P1068" s="998"/>
      <c r="Q1068" s="998"/>
    </row>
    <row r="1069" spans="1:17" s="222" customFormat="1" x14ac:dyDescent="0.2">
      <c r="A1069" s="225"/>
      <c r="B1069" s="302"/>
      <c r="C1069" s="302"/>
      <c r="D1069" s="304"/>
      <c r="E1069" s="302"/>
      <c r="F1069" s="495"/>
      <c r="G1069" s="496"/>
      <c r="H1069" s="495"/>
      <c r="I1069" s="497"/>
      <c r="J1069" s="495"/>
      <c r="K1069" s="495"/>
      <c r="L1069" s="495"/>
      <c r="M1069" s="495"/>
      <c r="N1069" s="495"/>
      <c r="O1069" s="495"/>
      <c r="P1069" s="495"/>
      <c r="Q1069" s="302"/>
    </row>
    <row r="1070" spans="1:17" s="222" customFormat="1" x14ac:dyDescent="0.2">
      <c r="A1070" s="410" t="s">
        <v>1</v>
      </c>
      <c r="B1070" s="410" t="s">
        <v>0</v>
      </c>
      <c r="C1070" s="410" t="s">
        <v>41</v>
      </c>
      <c r="D1070" s="416" t="s">
        <v>30</v>
      </c>
      <c r="E1070" s="410"/>
      <c r="F1070" s="722"/>
      <c r="G1070" s="725"/>
      <c r="H1070" s="722"/>
      <c r="I1070" s="726"/>
      <c r="J1070" s="722"/>
      <c r="K1070" s="722"/>
      <c r="L1070" s="722"/>
      <c r="M1070" s="722"/>
      <c r="N1070" s="722"/>
      <c r="O1070" s="722"/>
      <c r="P1070" s="722"/>
      <c r="Q1070" s="230"/>
    </row>
    <row r="1071" spans="1:17" s="222" customFormat="1" x14ac:dyDescent="0.2">
      <c r="A1071" s="281" t="s">
        <v>3</v>
      </c>
      <c r="B1071" s="281" t="s">
        <v>40</v>
      </c>
      <c r="C1071" s="281" t="s">
        <v>4</v>
      </c>
      <c r="D1071" s="420" t="s">
        <v>48</v>
      </c>
      <c r="E1071" s="421" t="str">
        <f>B!$D$11</f>
        <v>Jan-17</v>
      </c>
      <c r="F1071" s="421" t="str">
        <f>B!$E$11</f>
        <v>Feb-17</v>
      </c>
      <c r="G1071" s="421" t="str">
        <f>B!$F$11</f>
        <v>Mar-17</v>
      </c>
      <c r="H1071" s="421" t="str">
        <f>B!$G$11</f>
        <v>Apr-17</v>
      </c>
      <c r="I1071" s="421" t="str">
        <f>B!$H$11</f>
        <v>May-17</v>
      </c>
      <c r="J1071" s="421" t="str">
        <f>B!$I$11</f>
        <v>Jun-17</v>
      </c>
      <c r="K1071" s="421" t="str">
        <f>B!$J$11</f>
        <v>Jul-17</v>
      </c>
      <c r="L1071" s="421" t="str">
        <f>B!$K$11</f>
        <v>Aug-17</v>
      </c>
      <c r="M1071" s="421" t="str">
        <f>B!$L$11</f>
        <v>Sep-17</v>
      </c>
      <c r="N1071" s="421" t="str">
        <f>B!$M$11</f>
        <v>Oct-17</v>
      </c>
      <c r="O1071" s="421" t="str">
        <f>B!$N$11</f>
        <v>Nov-17</v>
      </c>
      <c r="P1071" s="421" t="str">
        <f>B!$O$11</f>
        <v>Dec-17</v>
      </c>
      <c r="Q1071" s="421" t="s">
        <v>9</v>
      </c>
    </row>
    <row r="1072" spans="1:17" s="222" customFormat="1" ht="20.100000000000001" customHeight="1" x14ac:dyDescent="0.2">
      <c r="A1072" s="410"/>
      <c r="B1072" s="229" t="s">
        <v>42</v>
      </c>
      <c r="C1072" s="229" t="s">
        <v>43</v>
      </c>
      <c r="D1072" s="423" t="s">
        <v>45</v>
      </c>
      <c r="E1072" s="424" t="s">
        <v>46</v>
      </c>
      <c r="F1072" s="424" t="s">
        <v>49</v>
      </c>
      <c r="G1072" s="424" t="s">
        <v>50</v>
      </c>
      <c r="H1072" s="424" t="s">
        <v>51</v>
      </c>
      <c r="I1072" s="424" t="s">
        <v>52</v>
      </c>
      <c r="J1072" s="425" t="s">
        <v>53</v>
      </c>
      <c r="K1072" s="425" t="s">
        <v>54</v>
      </c>
      <c r="L1072" s="425" t="s">
        <v>55</v>
      </c>
      <c r="M1072" s="425" t="s">
        <v>56</v>
      </c>
      <c r="N1072" s="425" t="s">
        <v>57</v>
      </c>
      <c r="O1072" s="425" t="s">
        <v>58</v>
      </c>
      <c r="P1072" s="425" t="s">
        <v>59</v>
      </c>
      <c r="Q1072" s="425" t="s">
        <v>203</v>
      </c>
    </row>
    <row r="1073" spans="1:17" s="222" customFormat="1" x14ac:dyDescent="0.2">
      <c r="A1073" s="259"/>
      <c r="D1073" s="286"/>
      <c r="E1073" s="230"/>
      <c r="F1073" s="727"/>
      <c r="G1073" s="723"/>
      <c r="H1073" s="727"/>
      <c r="I1073" s="724"/>
      <c r="J1073" s="727"/>
      <c r="K1073" s="727"/>
      <c r="L1073" s="727"/>
      <c r="M1073" s="727"/>
      <c r="N1073" s="727"/>
      <c r="O1073" s="727"/>
      <c r="P1073" s="727"/>
      <c r="Q1073" s="230"/>
    </row>
    <row r="1074" spans="1:17" s="222" customFormat="1" x14ac:dyDescent="0.2">
      <c r="A1074" s="259">
        <v>1</v>
      </c>
      <c r="B1074" s="222" t="str">
        <f>B292</f>
        <v>DS3</v>
      </c>
      <c r="C1074" s="222" t="str">
        <f>C292</f>
        <v>GTS Main Line Service - Industrial</v>
      </c>
      <c r="D1074" s="286"/>
      <c r="F1074" s="288"/>
      <c r="G1074" s="469"/>
      <c r="H1074" s="288"/>
      <c r="I1074" s="293"/>
      <c r="J1074" s="288"/>
      <c r="K1074" s="288"/>
      <c r="L1074" s="288"/>
      <c r="M1074" s="288"/>
      <c r="N1074" s="288"/>
      <c r="O1074" s="288"/>
      <c r="P1074" s="288"/>
    </row>
    <row r="1075" spans="1:17" s="222" customFormat="1" x14ac:dyDescent="0.2">
      <c r="A1075" s="259"/>
      <c r="D1075" s="286"/>
      <c r="F1075" s="288"/>
      <c r="G1075" s="469"/>
      <c r="H1075" s="288"/>
      <c r="I1075" s="293"/>
      <c r="J1075" s="288"/>
      <c r="K1075" s="288"/>
      <c r="L1075" s="288"/>
      <c r="M1075" s="288"/>
      <c r="N1075" s="288"/>
      <c r="O1075" s="288"/>
      <c r="P1075" s="288"/>
    </row>
    <row r="1076" spans="1:17" s="222" customFormat="1" x14ac:dyDescent="0.2">
      <c r="A1076" s="259">
        <f>A1074+1</f>
        <v>2</v>
      </c>
      <c r="C1076" s="262" t="s">
        <v>112</v>
      </c>
      <c r="D1076" s="286"/>
      <c r="F1076" s="288"/>
      <c r="G1076" s="469"/>
      <c r="H1076" s="288"/>
      <c r="I1076" s="293"/>
      <c r="J1076" s="288"/>
      <c r="K1076" s="288"/>
      <c r="L1076" s="288"/>
      <c r="M1076" s="288"/>
      <c r="N1076" s="288"/>
      <c r="O1076" s="288"/>
      <c r="P1076" s="288"/>
    </row>
    <row r="1077" spans="1:17" s="222" customFormat="1" x14ac:dyDescent="0.2">
      <c r="A1077" s="259"/>
      <c r="C1077" s="262"/>
      <c r="D1077" s="286"/>
      <c r="F1077" s="288"/>
      <c r="G1077" s="469"/>
      <c r="H1077" s="288"/>
      <c r="I1077" s="293"/>
      <c r="J1077" s="288"/>
      <c r="K1077" s="288"/>
      <c r="L1077" s="288"/>
      <c r="M1077" s="288"/>
      <c r="N1077" s="288"/>
      <c r="O1077" s="288"/>
      <c r="P1077" s="288"/>
    </row>
    <row r="1078" spans="1:17" s="222" customFormat="1" x14ac:dyDescent="0.2">
      <c r="A1078" s="259">
        <f>A1076+1</f>
        <v>3</v>
      </c>
      <c r="C1078" s="222" t="s">
        <v>202</v>
      </c>
      <c r="D1078" s="286"/>
      <c r="E1078" s="472">
        <f>B!D222</f>
        <v>3</v>
      </c>
      <c r="F1078" s="472">
        <f>B!E222</f>
        <v>3</v>
      </c>
      <c r="G1078" s="472">
        <f>B!F222</f>
        <v>3</v>
      </c>
      <c r="H1078" s="472">
        <f>B!G222</f>
        <v>3</v>
      </c>
      <c r="I1078" s="472">
        <f>B!H222</f>
        <v>3</v>
      </c>
      <c r="J1078" s="472">
        <f>B!I222</f>
        <v>3</v>
      </c>
      <c r="K1078" s="472">
        <f>B!J222</f>
        <v>3</v>
      </c>
      <c r="L1078" s="472">
        <f>B!K222</f>
        <v>3</v>
      </c>
      <c r="M1078" s="472">
        <f>B!L222</f>
        <v>3</v>
      </c>
      <c r="N1078" s="472">
        <f>B!M222</f>
        <v>3</v>
      </c>
      <c r="O1078" s="472">
        <f>B!N222</f>
        <v>3</v>
      </c>
      <c r="P1078" s="472">
        <f>B!O222</f>
        <v>3</v>
      </c>
      <c r="Q1078" s="472">
        <f>SUM(E1078:P1078)</f>
        <v>36</v>
      </c>
    </row>
    <row r="1079" spans="1:17" s="222" customFormat="1" x14ac:dyDescent="0.2">
      <c r="A1079" s="259">
        <f>A1078+1</f>
        <v>4</v>
      </c>
      <c r="C1079" s="222" t="s">
        <v>210</v>
      </c>
      <c r="D1079" s="781">
        <f>Input!U48</f>
        <v>255.9</v>
      </c>
      <c r="E1079" s="427">
        <f t="shared" ref="E1079:P1079" si="329">ROUND(E1078*$D$1079,2)</f>
        <v>767.7</v>
      </c>
      <c r="F1079" s="427">
        <f t="shared" si="329"/>
        <v>767.7</v>
      </c>
      <c r="G1079" s="427">
        <f t="shared" si="329"/>
        <v>767.7</v>
      </c>
      <c r="H1079" s="427">
        <f t="shared" si="329"/>
        <v>767.7</v>
      </c>
      <c r="I1079" s="427">
        <f t="shared" si="329"/>
        <v>767.7</v>
      </c>
      <c r="J1079" s="427">
        <f t="shared" si="329"/>
        <v>767.7</v>
      </c>
      <c r="K1079" s="427">
        <f t="shared" si="329"/>
        <v>767.7</v>
      </c>
      <c r="L1079" s="427">
        <f t="shared" si="329"/>
        <v>767.7</v>
      </c>
      <c r="M1079" s="427">
        <f t="shared" si="329"/>
        <v>767.7</v>
      </c>
      <c r="N1079" s="427">
        <f t="shared" si="329"/>
        <v>767.7</v>
      </c>
      <c r="O1079" s="427">
        <f t="shared" si="329"/>
        <v>767.7</v>
      </c>
      <c r="P1079" s="427">
        <f t="shared" si="329"/>
        <v>767.7</v>
      </c>
      <c r="Q1079" s="427">
        <f>SUM(E1079:P1079)</f>
        <v>9212.4</v>
      </c>
    </row>
    <row r="1080" spans="1:17" s="222" customFormat="1" x14ac:dyDescent="0.2">
      <c r="A1080" s="259">
        <f>A1079+1</f>
        <v>5</v>
      </c>
      <c r="C1080" s="222" t="s">
        <v>217</v>
      </c>
      <c r="D1080" s="781">
        <f>Input!V48</f>
        <v>0</v>
      </c>
      <c r="E1080" s="427">
        <f t="shared" ref="E1080:P1080" si="330">ROUND(E1078*$D$1080,2)</f>
        <v>0</v>
      </c>
      <c r="F1080" s="427">
        <f t="shared" si="330"/>
        <v>0</v>
      </c>
      <c r="G1080" s="427">
        <f t="shared" si="330"/>
        <v>0</v>
      </c>
      <c r="H1080" s="427">
        <f t="shared" si="330"/>
        <v>0</v>
      </c>
      <c r="I1080" s="427">
        <f t="shared" si="330"/>
        <v>0</v>
      </c>
      <c r="J1080" s="427">
        <f t="shared" si="330"/>
        <v>0</v>
      </c>
      <c r="K1080" s="427">
        <f t="shared" si="330"/>
        <v>0</v>
      </c>
      <c r="L1080" s="427">
        <f t="shared" si="330"/>
        <v>0</v>
      </c>
      <c r="M1080" s="427">
        <f t="shared" si="330"/>
        <v>0</v>
      </c>
      <c r="N1080" s="427">
        <f t="shared" si="330"/>
        <v>0</v>
      </c>
      <c r="O1080" s="427">
        <f t="shared" si="330"/>
        <v>0</v>
      </c>
      <c r="P1080" s="427">
        <f t="shared" si="330"/>
        <v>0</v>
      </c>
      <c r="Q1080" s="427">
        <f>SUM(E1080:P1080)</f>
        <v>0</v>
      </c>
    </row>
    <row r="1081" spans="1:17" s="222" customFormat="1" x14ac:dyDescent="0.2">
      <c r="A1081" s="259"/>
      <c r="D1081" s="286"/>
      <c r="F1081" s="288"/>
      <c r="G1081" s="469"/>
      <c r="H1081" s="288"/>
      <c r="I1081" s="293"/>
      <c r="J1081" s="288"/>
      <c r="K1081" s="288"/>
      <c r="L1081" s="288"/>
      <c r="M1081" s="288"/>
      <c r="N1081" s="288"/>
      <c r="O1081" s="288"/>
      <c r="P1081" s="288"/>
    </row>
    <row r="1082" spans="1:17" s="222" customFormat="1" x14ac:dyDescent="0.2">
      <c r="A1082" s="259">
        <f>A1080+1</f>
        <v>6</v>
      </c>
      <c r="C1082" s="222" t="s">
        <v>218</v>
      </c>
      <c r="D1082" s="286"/>
      <c r="E1082" s="293">
        <f>'C'!D332</f>
        <v>58289</v>
      </c>
      <c r="F1082" s="293">
        <f>'C'!E332</f>
        <v>56724</v>
      </c>
      <c r="G1082" s="293">
        <f>'C'!F332</f>
        <v>56724</v>
      </c>
      <c r="H1082" s="293">
        <f>'C'!G332</f>
        <v>57213</v>
      </c>
      <c r="I1082" s="293">
        <f>'C'!H332</f>
        <v>57995</v>
      </c>
      <c r="J1082" s="293">
        <f>'C'!I332</f>
        <v>58484</v>
      </c>
      <c r="K1082" s="293">
        <f>'C'!J332</f>
        <v>55942</v>
      </c>
      <c r="L1082" s="293">
        <f>'C'!K332</f>
        <v>54866</v>
      </c>
      <c r="M1082" s="293">
        <f>'C'!L332</f>
        <v>55746</v>
      </c>
      <c r="N1082" s="293">
        <f>'C'!M332</f>
        <v>58093</v>
      </c>
      <c r="O1082" s="293">
        <f>'C'!N332</f>
        <v>57604</v>
      </c>
      <c r="P1082" s="293">
        <f>'C'!O332</f>
        <v>53301</v>
      </c>
      <c r="Q1082" s="293">
        <f>SUM(E1082:P1082)</f>
        <v>680981</v>
      </c>
    </row>
    <row r="1083" spans="1:17" s="222" customFormat="1" x14ac:dyDescent="0.2">
      <c r="A1083" s="259">
        <f>A1082+1</f>
        <v>7</v>
      </c>
      <c r="C1083" s="286" t="s">
        <v>207</v>
      </c>
      <c r="D1083" s="782">
        <f>Input!P48</f>
        <v>8.5800000000000001E-2</v>
      </c>
      <c r="E1083" s="427">
        <f t="shared" ref="E1083:P1083" si="331">ROUND(E1082*$D$1083,2)</f>
        <v>5001.2</v>
      </c>
      <c r="F1083" s="427">
        <f t="shared" si="331"/>
        <v>4866.92</v>
      </c>
      <c r="G1083" s="427">
        <f t="shared" si="331"/>
        <v>4866.92</v>
      </c>
      <c r="H1083" s="427">
        <f t="shared" si="331"/>
        <v>4908.88</v>
      </c>
      <c r="I1083" s="427">
        <f t="shared" si="331"/>
        <v>4975.97</v>
      </c>
      <c r="J1083" s="427">
        <f t="shared" si="331"/>
        <v>5017.93</v>
      </c>
      <c r="K1083" s="427">
        <f t="shared" si="331"/>
        <v>4799.82</v>
      </c>
      <c r="L1083" s="427">
        <f t="shared" si="331"/>
        <v>4707.5</v>
      </c>
      <c r="M1083" s="427">
        <f t="shared" si="331"/>
        <v>4783.01</v>
      </c>
      <c r="N1083" s="427">
        <f t="shared" si="331"/>
        <v>4984.38</v>
      </c>
      <c r="O1083" s="427">
        <f t="shared" si="331"/>
        <v>4942.42</v>
      </c>
      <c r="P1083" s="427">
        <f t="shared" si="331"/>
        <v>4573.2299999999996</v>
      </c>
      <c r="Q1083" s="427">
        <f>SUM(E1083:P1083)</f>
        <v>58428.179999999993</v>
      </c>
    </row>
    <row r="1084" spans="1:17" s="222" customFormat="1" x14ac:dyDescent="0.2">
      <c r="A1084" s="259"/>
      <c r="D1084" s="286"/>
      <c r="F1084" s="288"/>
      <c r="G1084" s="469"/>
      <c r="H1084" s="288"/>
      <c r="I1084" s="293"/>
      <c r="J1084" s="288"/>
      <c r="K1084" s="288"/>
      <c r="L1084" s="288"/>
      <c r="M1084" s="288"/>
      <c r="N1084" s="288"/>
      <c r="O1084" s="288"/>
      <c r="P1084" s="288"/>
      <c r="Q1084" s="536"/>
    </row>
    <row r="1085" spans="1:17" s="222" customFormat="1" x14ac:dyDescent="0.2">
      <c r="A1085" s="259">
        <f>A1083+1</f>
        <v>8</v>
      </c>
      <c r="C1085" s="222" t="s">
        <v>204</v>
      </c>
      <c r="D1085" s="286"/>
      <c r="E1085" s="427">
        <f t="shared" ref="E1085:P1085" si="332">E1079+E1080+E1083</f>
        <v>5768.9</v>
      </c>
      <c r="F1085" s="427">
        <f t="shared" si="332"/>
        <v>5634.62</v>
      </c>
      <c r="G1085" s="427">
        <f t="shared" si="332"/>
        <v>5634.62</v>
      </c>
      <c r="H1085" s="427">
        <f t="shared" si="332"/>
        <v>5676.58</v>
      </c>
      <c r="I1085" s="427">
        <f t="shared" si="332"/>
        <v>5743.67</v>
      </c>
      <c r="J1085" s="427">
        <f t="shared" si="332"/>
        <v>5785.63</v>
      </c>
      <c r="K1085" s="427">
        <f t="shared" si="332"/>
        <v>5567.5199999999995</v>
      </c>
      <c r="L1085" s="427">
        <f t="shared" si="332"/>
        <v>5475.2</v>
      </c>
      <c r="M1085" s="427">
        <f t="shared" si="332"/>
        <v>5550.71</v>
      </c>
      <c r="N1085" s="427">
        <f t="shared" si="332"/>
        <v>5752.08</v>
      </c>
      <c r="O1085" s="427">
        <f t="shared" si="332"/>
        <v>5710.12</v>
      </c>
      <c r="P1085" s="427">
        <f t="shared" si="332"/>
        <v>5340.9299999999994</v>
      </c>
      <c r="Q1085" s="427">
        <f>SUM(E1085:P1085)</f>
        <v>67640.579999999987</v>
      </c>
    </row>
    <row r="1086" spans="1:17" s="222" customFormat="1" x14ac:dyDescent="0.2">
      <c r="A1086" s="259"/>
      <c r="D1086" s="286"/>
      <c r="F1086" s="288"/>
      <c r="G1086" s="469"/>
      <c r="H1086" s="288"/>
      <c r="I1086" s="293"/>
      <c r="J1086" s="288"/>
      <c r="K1086" s="288"/>
      <c r="L1086" s="288"/>
      <c r="M1086" s="288"/>
      <c r="N1086" s="288"/>
      <c r="O1086" s="288"/>
      <c r="P1086" s="288"/>
      <c r="Q1086" s="536"/>
    </row>
    <row r="1087" spans="1:17" s="222" customFormat="1" x14ac:dyDescent="0.2">
      <c r="A1087" s="259">
        <f>A1085+1</f>
        <v>9</v>
      </c>
      <c r="C1087" s="222" t="s">
        <v>151</v>
      </c>
      <c r="D1087" s="783">
        <v>0</v>
      </c>
      <c r="E1087" s="510">
        <v>0</v>
      </c>
      <c r="F1087" s="510">
        <v>0</v>
      </c>
      <c r="G1087" s="510">
        <v>0</v>
      </c>
      <c r="H1087" s="510">
        <v>0</v>
      </c>
      <c r="I1087" s="510">
        <v>0</v>
      </c>
      <c r="J1087" s="510">
        <v>0</v>
      </c>
      <c r="K1087" s="510">
        <v>0</v>
      </c>
      <c r="L1087" s="510">
        <v>0</v>
      </c>
      <c r="M1087" s="510">
        <v>0</v>
      </c>
      <c r="N1087" s="510">
        <v>0</v>
      </c>
      <c r="O1087" s="510">
        <v>0</v>
      </c>
      <c r="P1087" s="510">
        <v>0</v>
      </c>
      <c r="Q1087" s="427">
        <f>SUM(E1087:P1087)</f>
        <v>0</v>
      </c>
    </row>
    <row r="1088" spans="1:17" s="222" customFormat="1" x14ac:dyDescent="0.2">
      <c r="A1088" s="259"/>
      <c r="D1088" s="286"/>
      <c r="F1088" s="288"/>
      <c r="G1088" s="469"/>
      <c r="H1088" s="288"/>
      <c r="I1088" s="293"/>
      <c r="J1088" s="288"/>
      <c r="K1088" s="288"/>
      <c r="L1088" s="288"/>
      <c r="M1088" s="288"/>
      <c r="N1088" s="288"/>
      <c r="O1088" s="288"/>
      <c r="P1088" s="288"/>
      <c r="Q1088" s="469"/>
    </row>
    <row r="1089" spans="1:17" s="222" customFormat="1" ht="10.8" thickBot="1" x14ac:dyDescent="0.25">
      <c r="A1089" s="717">
        <f>A1087+1</f>
        <v>10</v>
      </c>
      <c r="B1089" s="489"/>
      <c r="C1089" s="718" t="s">
        <v>205</v>
      </c>
      <c r="D1089" s="719"/>
      <c r="E1089" s="492">
        <f t="shared" ref="E1089:P1089" si="333">E1085+E1087</f>
        <v>5768.9</v>
      </c>
      <c r="F1089" s="492">
        <f t="shared" si="333"/>
        <v>5634.62</v>
      </c>
      <c r="G1089" s="492">
        <f t="shared" si="333"/>
        <v>5634.62</v>
      </c>
      <c r="H1089" s="492">
        <f t="shared" si="333"/>
        <v>5676.58</v>
      </c>
      <c r="I1089" s="492">
        <f t="shared" si="333"/>
        <v>5743.67</v>
      </c>
      <c r="J1089" s="492">
        <f t="shared" si="333"/>
        <v>5785.63</v>
      </c>
      <c r="K1089" s="492">
        <f t="shared" si="333"/>
        <v>5567.5199999999995</v>
      </c>
      <c r="L1089" s="492">
        <f t="shared" si="333"/>
        <v>5475.2</v>
      </c>
      <c r="M1089" s="492">
        <f t="shared" si="333"/>
        <v>5550.71</v>
      </c>
      <c r="N1089" s="492">
        <f t="shared" si="333"/>
        <v>5752.08</v>
      </c>
      <c r="O1089" s="492">
        <f t="shared" si="333"/>
        <v>5710.12</v>
      </c>
      <c r="P1089" s="492">
        <f t="shared" si="333"/>
        <v>5340.9299999999994</v>
      </c>
      <c r="Q1089" s="492">
        <f>SUM(E1089:P1089)</f>
        <v>67640.579999999987</v>
      </c>
    </row>
    <row r="1090" spans="1:17" s="222" customFormat="1" ht="10.8" thickTop="1" x14ac:dyDescent="0.2">
      <c r="A1090" s="259"/>
      <c r="D1090" s="286"/>
      <c r="F1090" s="288"/>
      <c r="G1090" s="469"/>
      <c r="H1090" s="288"/>
      <c r="I1090" s="293"/>
      <c r="J1090" s="288"/>
      <c r="K1090" s="288"/>
      <c r="L1090" s="288"/>
      <c r="M1090" s="288"/>
      <c r="N1090" s="288"/>
      <c r="O1090" s="288"/>
      <c r="P1090" s="288"/>
    </row>
    <row r="1091" spans="1:17" s="222" customFormat="1" x14ac:dyDescent="0.2">
      <c r="A1091" s="259"/>
      <c r="D1091" s="286"/>
      <c r="F1091" s="288"/>
      <c r="G1091" s="469"/>
      <c r="H1091" s="288"/>
      <c r="I1091" s="293"/>
      <c r="J1091" s="288"/>
      <c r="K1091" s="288"/>
      <c r="L1091" s="288"/>
      <c r="M1091" s="288"/>
      <c r="N1091" s="288"/>
      <c r="O1091" s="288"/>
      <c r="P1091" s="288"/>
    </row>
    <row r="1092" spans="1:17" s="222" customFormat="1" x14ac:dyDescent="0.2">
      <c r="A1092" s="259">
        <f>A1089+1</f>
        <v>11</v>
      </c>
      <c r="B1092" s="222" t="str">
        <f>B299</f>
        <v>FX1</v>
      </c>
      <c r="C1092" s="222" t="str">
        <f>C299</f>
        <v>GTS Flex Rate - Commercial</v>
      </c>
      <c r="D1092" s="286"/>
      <c r="F1092" s="288"/>
      <c r="G1092" s="469"/>
      <c r="H1092" s="288"/>
      <c r="I1092" s="293"/>
      <c r="J1092" s="288"/>
      <c r="K1092" s="288"/>
      <c r="L1092" s="288"/>
      <c r="M1092" s="288"/>
      <c r="N1092" s="288"/>
      <c r="O1092" s="288"/>
      <c r="P1092" s="288"/>
    </row>
    <row r="1093" spans="1:17" s="222" customFormat="1" x14ac:dyDescent="0.2">
      <c r="A1093" s="259"/>
      <c r="D1093" s="286"/>
      <c r="F1093" s="288"/>
      <c r="G1093" s="469"/>
      <c r="H1093" s="288"/>
      <c r="I1093" s="293"/>
      <c r="J1093" s="288"/>
      <c r="K1093" s="288"/>
      <c r="L1093" s="288"/>
      <c r="M1093" s="288"/>
      <c r="N1093" s="288"/>
      <c r="O1093" s="288"/>
      <c r="P1093" s="288"/>
    </row>
    <row r="1094" spans="1:17" s="222" customFormat="1" x14ac:dyDescent="0.2">
      <c r="A1094" s="259">
        <f>A1092+1</f>
        <v>12</v>
      </c>
      <c r="C1094" s="262" t="s">
        <v>111</v>
      </c>
      <c r="D1094" s="286"/>
      <c r="F1094" s="288"/>
      <c r="G1094" s="469"/>
      <c r="H1094" s="288"/>
      <c r="I1094" s="293"/>
      <c r="J1094" s="288"/>
      <c r="K1094" s="288"/>
      <c r="L1094" s="288"/>
      <c r="M1094" s="288"/>
      <c r="N1094" s="288"/>
      <c r="O1094" s="288"/>
      <c r="P1094" s="288"/>
    </row>
    <row r="1095" spans="1:17" s="222" customFormat="1" x14ac:dyDescent="0.2">
      <c r="A1095" s="259"/>
      <c r="C1095" s="262"/>
      <c r="D1095" s="286"/>
      <c r="F1095" s="288"/>
      <c r="G1095" s="469"/>
      <c r="H1095" s="288"/>
      <c r="I1095" s="293"/>
      <c r="J1095" s="288"/>
      <c r="K1095" s="288"/>
      <c r="L1095" s="288"/>
      <c r="M1095" s="288"/>
      <c r="N1095" s="288"/>
      <c r="O1095" s="288"/>
      <c r="P1095" s="288"/>
    </row>
    <row r="1096" spans="1:17" s="222" customFormat="1" x14ac:dyDescent="0.2">
      <c r="A1096" s="259">
        <f>A1094+1</f>
        <v>13</v>
      </c>
      <c r="C1096" s="222" t="s">
        <v>202</v>
      </c>
      <c r="D1096" s="286"/>
      <c r="E1096" s="472">
        <f>B!D228</f>
        <v>1</v>
      </c>
      <c r="F1096" s="472">
        <f>B!E228</f>
        <v>1</v>
      </c>
      <c r="G1096" s="472">
        <f>B!F228</f>
        <v>1</v>
      </c>
      <c r="H1096" s="472">
        <f>B!G228</f>
        <v>1</v>
      </c>
      <c r="I1096" s="472">
        <f>B!H228</f>
        <v>1</v>
      </c>
      <c r="J1096" s="472">
        <f>B!I228</f>
        <v>1</v>
      </c>
      <c r="K1096" s="472">
        <f>B!J228</f>
        <v>1</v>
      </c>
      <c r="L1096" s="472">
        <f>B!K228</f>
        <v>1</v>
      </c>
      <c r="M1096" s="472">
        <f>B!L228</f>
        <v>1</v>
      </c>
      <c r="N1096" s="472">
        <f>B!M228</f>
        <v>1</v>
      </c>
      <c r="O1096" s="472">
        <f>B!N228</f>
        <v>1</v>
      </c>
      <c r="P1096" s="472">
        <f>B!O228</f>
        <v>1</v>
      </c>
      <c r="Q1096" s="472">
        <f>SUM(E1096:P1096)</f>
        <v>12</v>
      </c>
    </row>
    <row r="1097" spans="1:17" s="222" customFormat="1" x14ac:dyDescent="0.2">
      <c r="A1097" s="259">
        <f>A1096+1</f>
        <v>14</v>
      </c>
      <c r="C1097" s="222" t="s">
        <v>210</v>
      </c>
      <c r="D1097" s="781">
        <f>Input!U49</f>
        <v>1062.95</v>
      </c>
      <c r="E1097" s="427">
        <f>ROUND(E1096*$D$1097,2)</f>
        <v>1062.95</v>
      </c>
      <c r="F1097" s="427">
        <f t="shared" ref="F1097:P1097" si="334">ROUND(F1096*$D$1097,2)</f>
        <v>1062.95</v>
      </c>
      <c r="G1097" s="427">
        <f t="shared" si="334"/>
        <v>1062.95</v>
      </c>
      <c r="H1097" s="427">
        <f t="shared" si="334"/>
        <v>1062.95</v>
      </c>
      <c r="I1097" s="427">
        <f t="shared" si="334"/>
        <v>1062.95</v>
      </c>
      <c r="J1097" s="427">
        <f t="shared" si="334"/>
        <v>1062.95</v>
      </c>
      <c r="K1097" s="427">
        <f t="shared" si="334"/>
        <v>1062.95</v>
      </c>
      <c r="L1097" s="427">
        <f t="shared" si="334"/>
        <v>1062.95</v>
      </c>
      <c r="M1097" s="427">
        <f t="shared" si="334"/>
        <v>1062.95</v>
      </c>
      <c r="N1097" s="427">
        <f t="shared" si="334"/>
        <v>1062.95</v>
      </c>
      <c r="O1097" s="427">
        <f t="shared" si="334"/>
        <v>1062.95</v>
      </c>
      <c r="P1097" s="427">
        <f t="shared" si="334"/>
        <v>1062.95</v>
      </c>
      <c r="Q1097" s="427">
        <f>SUM(E1097:P1097)</f>
        <v>12755.400000000003</v>
      </c>
    </row>
    <row r="1098" spans="1:17" s="222" customFormat="1" x14ac:dyDescent="0.2">
      <c r="A1098" s="259">
        <f>A1097+1</f>
        <v>15</v>
      </c>
      <c r="C1098" s="222" t="s">
        <v>217</v>
      </c>
      <c r="D1098" s="781">
        <f>Input!V49</f>
        <v>0</v>
      </c>
      <c r="E1098" s="427">
        <f t="shared" ref="E1098:P1098" si="335">ROUND(E1096*$D$1098,2)</f>
        <v>0</v>
      </c>
      <c r="F1098" s="427">
        <f t="shared" si="335"/>
        <v>0</v>
      </c>
      <c r="G1098" s="427">
        <f t="shared" si="335"/>
        <v>0</v>
      </c>
      <c r="H1098" s="427">
        <f t="shared" si="335"/>
        <v>0</v>
      </c>
      <c r="I1098" s="427">
        <f t="shared" si="335"/>
        <v>0</v>
      </c>
      <c r="J1098" s="427">
        <f t="shared" si="335"/>
        <v>0</v>
      </c>
      <c r="K1098" s="427">
        <f t="shared" si="335"/>
        <v>0</v>
      </c>
      <c r="L1098" s="427">
        <f t="shared" si="335"/>
        <v>0</v>
      </c>
      <c r="M1098" s="427">
        <f t="shared" si="335"/>
        <v>0</v>
      </c>
      <c r="N1098" s="427">
        <f t="shared" si="335"/>
        <v>0</v>
      </c>
      <c r="O1098" s="427">
        <f t="shared" si="335"/>
        <v>0</v>
      </c>
      <c r="P1098" s="427">
        <f t="shared" si="335"/>
        <v>0</v>
      </c>
      <c r="Q1098" s="427">
        <f>SUM(E1098:P1098)</f>
        <v>0</v>
      </c>
    </row>
    <row r="1099" spans="1:17" s="222" customFormat="1" x14ac:dyDescent="0.2">
      <c r="A1099" s="259"/>
      <c r="D1099" s="286"/>
      <c r="F1099" s="288"/>
      <c r="G1099" s="469"/>
      <c r="H1099" s="288"/>
      <c r="I1099" s="293"/>
      <c r="J1099" s="288"/>
      <c r="K1099" s="288"/>
      <c r="L1099" s="288"/>
      <c r="M1099" s="288"/>
      <c r="N1099" s="288"/>
      <c r="O1099" s="288"/>
      <c r="P1099" s="288"/>
    </row>
    <row r="1100" spans="1:17" s="222" customFormat="1" x14ac:dyDescent="0.2">
      <c r="A1100" s="259">
        <f>A1098+1</f>
        <v>16</v>
      </c>
      <c r="C1100" s="222" t="s">
        <v>209</v>
      </c>
      <c r="D1100" s="286"/>
      <c r="E1100" s="293">
        <f>'C'!D337</f>
        <v>74328</v>
      </c>
      <c r="F1100" s="293">
        <f>'C'!E337</f>
        <v>58680</v>
      </c>
      <c r="G1100" s="293">
        <f>'C'!F337</f>
        <v>70416</v>
      </c>
      <c r="H1100" s="293">
        <f>'C'!G337</f>
        <v>34230</v>
      </c>
      <c r="I1100" s="293">
        <f>'C'!H337</f>
        <v>29340</v>
      </c>
      <c r="J1100" s="293">
        <f>'C'!I337</f>
        <v>29340</v>
      </c>
      <c r="K1100" s="293">
        <f>'C'!J337</f>
        <v>29340</v>
      </c>
      <c r="L1100" s="293">
        <f>'C'!K337</f>
        <v>29340</v>
      </c>
      <c r="M1100" s="293">
        <f>'C'!L337</f>
        <v>34230</v>
      </c>
      <c r="N1100" s="293">
        <f>'C'!M337</f>
        <v>39120</v>
      </c>
      <c r="O1100" s="293">
        <f>'C'!N337</f>
        <v>49878</v>
      </c>
      <c r="P1100" s="293">
        <f>'C'!O337</f>
        <v>63570</v>
      </c>
      <c r="Q1100" s="293">
        <f>SUM(E1100:P1100)</f>
        <v>541812</v>
      </c>
    </row>
    <row r="1101" spans="1:17" s="222" customFormat="1" x14ac:dyDescent="0.2">
      <c r="A1101" s="259">
        <f>A1100+1</f>
        <v>17</v>
      </c>
      <c r="C1101" s="222" t="s">
        <v>207</v>
      </c>
      <c r="D1101" s="782">
        <f>Input!P49</f>
        <v>0.39</v>
      </c>
      <c r="E1101" s="427">
        <f t="shared" ref="E1101:P1101" si="336">ROUND(E1100*$D$1101,2)</f>
        <v>28987.919999999998</v>
      </c>
      <c r="F1101" s="427">
        <f t="shared" si="336"/>
        <v>22885.200000000001</v>
      </c>
      <c r="G1101" s="427">
        <f t="shared" si="336"/>
        <v>27462.240000000002</v>
      </c>
      <c r="H1101" s="427">
        <f t="shared" si="336"/>
        <v>13349.7</v>
      </c>
      <c r="I1101" s="427">
        <f t="shared" si="336"/>
        <v>11442.6</v>
      </c>
      <c r="J1101" s="427">
        <f t="shared" si="336"/>
        <v>11442.6</v>
      </c>
      <c r="K1101" s="427">
        <f t="shared" si="336"/>
        <v>11442.6</v>
      </c>
      <c r="L1101" s="427">
        <f t="shared" si="336"/>
        <v>11442.6</v>
      </c>
      <c r="M1101" s="427">
        <f t="shared" si="336"/>
        <v>13349.7</v>
      </c>
      <c r="N1101" s="427">
        <f t="shared" si="336"/>
        <v>15256.8</v>
      </c>
      <c r="O1101" s="427">
        <f t="shared" si="336"/>
        <v>19452.419999999998</v>
      </c>
      <c r="P1101" s="427">
        <f t="shared" si="336"/>
        <v>24792.3</v>
      </c>
      <c r="Q1101" s="427">
        <f>SUM(E1101:P1101)</f>
        <v>211306.68</v>
      </c>
    </row>
    <row r="1102" spans="1:17" s="222" customFormat="1" x14ac:dyDescent="0.2">
      <c r="A1102" s="259"/>
      <c r="D1102" s="286"/>
      <c r="F1102" s="288"/>
      <c r="G1102" s="469"/>
      <c r="H1102" s="288"/>
      <c r="I1102" s="293"/>
      <c r="J1102" s="288"/>
      <c r="K1102" s="288"/>
      <c r="L1102" s="288"/>
      <c r="M1102" s="288"/>
      <c r="N1102" s="288"/>
      <c r="O1102" s="288"/>
      <c r="P1102" s="288"/>
      <c r="Q1102" s="536"/>
    </row>
    <row r="1103" spans="1:17" s="222" customFormat="1" x14ac:dyDescent="0.2">
      <c r="A1103" s="259">
        <f>A1101+1</f>
        <v>18</v>
      </c>
      <c r="C1103" s="222" t="s">
        <v>204</v>
      </c>
      <c r="D1103" s="286"/>
      <c r="E1103" s="427">
        <f t="shared" ref="E1103:P1103" si="337">E1097+E1098+E1101</f>
        <v>30050.87</v>
      </c>
      <c r="F1103" s="427">
        <f t="shared" si="337"/>
        <v>23948.15</v>
      </c>
      <c r="G1103" s="427">
        <f t="shared" si="337"/>
        <v>28525.190000000002</v>
      </c>
      <c r="H1103" s="427">
        <f t="shared" si="337"/>
        <v>14412.650000000001</v>
      </c>
      <c r="I1103" s="427">
        <f t="shared" si="337"/>
        <v>12505.550000000001</v>
      </c>
      <c r="J1103" s="427">
        <f t="shared" si="337"/>
        <v>12505.550000000001</v>
      </c>
      <c r="K1103" s="427">
        <f t="shared" si="337"/>
        <v>12505.550000000001</v>
      </c>
      <c r="L1103" s="427">
        <f t="shared" si="337"/>
        <v>12505.550000000001</v>
      </c>
      <c r="M1103" s="427">
        <f t="shared" si="337"/>
        <v>14412.650000000001</v>
      </c>
      <c r="N1103" s="427">
        <f t="shared" si="337"/>
        <v>16319.75</v>
      </c>
      <c r="O1103" s="427">
        <f t="shared" si="337"/>
        <v>20515.37</v>
      </c>
      <c r="P1103" s="427">
        <f t="shared" si="337"/>
        <v>25855.25</v>
      </c>
      <c r="Q1103" s="427">
        <f>SUM(E1103:P1103)</f>
        <v>224062.07999999999</v>
      </c>
    </row>
    <row r="1104" spans="1:17" s="222" customFormat="1" x14ac:dyDescent="0.2">
      <c r="A1104" s="259"/>
      <c r="D1104" s="286"/>
      <c r="F1104" s="288"/>
      <c r="G1104" s="469"/>
      <c r="H1104" s="288"/>
      <c r="I1104" s="293"/>
      <c r="J1104" s="288"/>
      <c r="K1104" s="288"/>
      <c r="L1104" s="288"/>
      <c r="M1104" s="288"/>
      <c r="N1104" s="288"/>
      <c r="O1104" s="288"/>
      <c r="P1104" s="288"/>
      <c r="Q1104" s="536"/>
    </row>
    <row r="1105" spans="1:17" s="222" customFormat="1" x14ac:dyDescent="0.2">
      <c r="A1105" s="259">
        <f>A1103+1</f>
        <v>19</v>
      </c>
      <c r="C1105" s="222" t="s">
        <v>151</v>
      </c>
      <c r="D1105" s="783">
        <v>0</v>
      </c>
      <c r="E1105" s="510">
        <v>0</v>
      </c>
      <c r="F1105" s="510">
        <v>0</v>
      </c>
      <c r="G1105" s="510">
        <v>0</v>
      </c>
      <c r="H1105" s="510">
        <v>0</v>
      </c>
      <c r="I1105" s="510">
        <v>0</v>
      </c>
      <c r="J1105" s="510">
        <v>0</v>
      </c>
      <c r="K1105" s="510">
        <v>0</v>
      </c>
      <c r="L1105" s="510">
        <v>0</v>
      </c>
      <c r="M1105" s="510">
        <v>0</v>
      </c>
      <c r="N1105" s="510">
        <v>0</v>
      </c>
      <c r="O1105" s="510">
        <v>0</v>
      </c>
      <c r="P1105" s="510">
        <v>0</v>
      </c>
      <c r="Q1105" s="427">
        <f>SUM(E1105:P1105)</f>
        <v>0</v>
      </c>
    </row>
    <row r="1106" spans="1:17" s="222" customFormat="1" x14ac:dyDescent="0.2">
      <c r="A1106" s="259"/>
      <c r="D1106" s="286"/>
      <c r="F1106" s="288"/>
      <c r="G1106" s="469"/>
      <c r="H1106" s="288"/>
      <c r="I1106" s="293"/>
      <c r="J1106" s="288"/>
      <c r="K1106" s="288"/>
      <c r="L1106" s="288"/>
      <c r="M1106" s="288"/>
      <c r="N1106" s="288"/>
      <c r="O1106" s="288"/>
      <c r="P1106" s="288"/>
      <c r="Q1106" s="469"/>
    </row>
    <row r="1107" spans="1:17" s="222" customFormat="1" ht="10.8" thickBot="1" x14ac:dyDescent="0.25">
      <c r="A1107" s="717">
        <f>A1105+1</f>
        <v>20</v>
      </c>
      <c r="B1107" s="489"/>
      <c r="C1107" s="718" t="s">
        <v>205</v>
      </c>
      <c r="D1107" s="719"/>
      <c r="E1107" s="492">
        <f t="shared" ref="E1107:P1107" si="338">E1103+E1105</f>
        <v>30050.87</v>
      </c>
      <c r="F1107" s="492">
        <f t="shared" si="338"/>
        <v>23948.15</v>
      </c>
      <c r="G1107" s="492">
        <f t="shared" si="338"/>
        <v>28525.190000000002</v>
      </c>
      <c r="H1107" s="492">
        <f t="shared" si="338"/>
        <v>14412.650000000001</v>
      </c>
      <c r="I1107" s="492">
        <f t="shared" si="338"/>
        <v>12505.550000000001</v>
      </c>
      <c r="J1107" s="492">
        <f t="shared" si="338"/>
        <v>12505.550000000001</v>
      </c>
      <c r="K1107" s="492">
        <f t="shared" si="338"/>
        <v>12505.550000000001</v>
      </c>
      <c r="L1107" s="492">
        <f t="shared" si="338"/>
        <v>12505.550000000001</v>
      </c>
      <c r="M1107" s="492">
        <f t="shared" si="338"/>
        <v>14412.650000000001</v>
      </c>
      <c r="N1107" s="492">
        <f t="shared" si="338"/>
        <v>16319.75</v>
      </c>
      <c r="O1107" s="492">
        <f t="shared" si="338"/>
        <v>20515.37</v>
      </c>
      <c r="P1107" s="492">
        <f t="shared" si="338"/>
        <v>25855.25</v>
      </c>
      <c r="Q1107" s="492">
        <f>SUM(E1107:P1107)</f>
        <v>224062.07999999999</v>
      </c>
    </row>
    <row r="1108" spans="1:17" s="222" customFormat="1" ht="10.8" thickTop="1" x14ac:dyDescent="0.2">
      <c r="A1108" s="259"/>
      <c r="D1108" s="286"/>
      <c r="F1108" s="288"/>
      <c r="G1108" s="469"/>
      <c r="H1108" s="288"/>
      <c r="I1108" s="293"/>
      <c r="J1108" s="288"/>
      <c r="K1108" s="288"/>
      <c r="L1108" s="288"/>
      <c r="M1108" s="288"/>
      <c r="N1108" s="288"/>
      <c r="O1108" s="288"/>
      <c r="P1108" s="288"/>
    </row>
    <row r="1109" spans="1:17" s="222" customFormat="1" x14ac:dyDescent="0.2">
      <c r="A1109" s="259"/>
      <c r="D1109" s="286"/>
      <c r="F1109" s="288"/>
      <c r="G1109" s="469"/>
      <c r="H1109" s="288"/>
      <c r="I1109" s="293"/>
      <c r="J1109" s="288"/>
      <c r="K1109" s="288"/>
      <c r="L1109" s="288"/>
      <c r="M1109" s="288"/>
      <c r="N1109" s="288"/>
      <c r="O1109" s="288"/>
      <c r="P1109" s="288"/>
    </row>
    <row r="1110" spans="1:17" s="222" customFormat="1" x14ac:dyDescent="0.2">
      <c r="A1110" s="259">
        <f>A1107+1</f>
        <v>21</v>
      </c>
      <c r="B1110" s="222" t="str">
        <f>B306</f>
        <v>FX2</v>
      </c>
      <c r="C1110" s="222" t="str">
        <f>C306</f>
        <v>GTS Flex Rate - Commercial</v>
      </c>
      <c r="D1110" s="286"/>
      <c r="F1110" s="288"/>
      <c r="G1110" s="469"/>
      <c r="H1110" s="288"/>
      <c r="I1110" s="293"/>
      <c r="J1110" s="288"/>
      <c r="K1110" s="288"/>
      <c r="L1110" s="288"/>
      <c r="M1110" s="288"/>
      <c r="N1110" s="288"/>
      <c r="O1110" s="288"/>
      <c r="P1110" s="288"/>
    </row>
    <row r="1111" spans="1:17" s="222" customFormat="1" x14ac:dyDescent="0.2">
      <c r="A1111" s="259"/>
      <c r="D1111" s="286"/>
      <c r="F1111" s="288"/>
      <c r="G1111" s="469"/>
      <c r="H1111" s="288"/>
      <c r="I1111" s="293"/>
      <c r="J1111" s="288"/>
      <c r="K1111" s="288"/>
      <c r="L1111" s="288"/>
      <c r="M1111" s="288"/>
      <c r="N1111" s="288"/>
      <c r="O1111" s="288"/>
      <c r="P1111" s="288"/>
    </row>
    <row r="1112" spans="1:17" s="222" customFormat="1" x14ac:dyDescent="0.2">
      <c r="A1112" s="259">
        <f>A1110+1</f>
        <v>22</v>
      </c>
      <c r="C1112" s="262" t="s">
        <v>111</v>
      </c>
      <c r="D1112" s="286"/>
      <c r="F1112" s="288"/>
      <c r="G1112" s="469"/>
      <c r="H1112" s="288"/>
      <c r="I1112" s="293"/>
      <c r="J1112" s="288"/>
      <c r="K1112" s="288"/>
      <c r="L1112" s="288"/>
      <c r="M1112" s="288"/>
      <c r="N1112" s="288"/>
      <c r="O1112" s="288"/>
      <c r="P1112" s="288"/>
    </row>
    <row r="1113" spans="1:17" s="222" customFormat="1" x14ac:dyDescent="0.2">
      <c r="A1113" s="259"/>
      <c r="C1113" s="262"/>
      <c r="D1113" s="286"/>
      <c r="F1113" s="288"/>
      <c r="G1113" s="469"/>
      <c r="H1113" s="288"/>
      <c r="I1113" s="293"/>
      <c r="J1113" s="288"/>
      <c r="K1113" s="288"/>
      <c r="L1113" s="288"/>
      <c r="M1113" s="288"/>
      <c r="N1113" s="288"/>
      <c r="O1113" s="288"/>
      <c r="P1113" s="288"/>
    </row>
    <row r="1114" spans="1:17" s="222" customFormat="1" x14ac:dyDescent="0.2">
      <c r="A1114" s="259">
        <f>A1112+1</f>
        <v>23</v>
      </c>
      <c r="C1114" s="222" t="s">
        <v>202</v>
      </c>
      <c r="D1114" s="286"/>
      <c r="E1114" s="472">
        <f>B!D234</f>
        <v>1</v>
      </c>
      <c r="F1114" s="472">
        <f>B!E234</f>
        <v>1</v>
      </c>
      <c r="G1114" s="472">
        <f>B!F234</f>
        <v>1</v>
      </c>
      <c r="H1114" s="472">
        <f>B!G234</f>
        <v>1</v>
      </c>
      <c r="I1114" s="472">
        <f>B!H234</f>
        <v>1</v>
      </c>
      <c r="J1114" s="472">
        <f>B!I234</f>
        <v>1</v>
      </c>
      <c r="K1114" s="472">
        <f>B!J234</f>
        <v>1</v>
      </c>
      <c r="L1114" s="472">
        <f>B!K234</f>
        <v>1</v>
      </c>
      <c r="M1114" s="472">
        <f>B!L234</f>
        <v>1</v>
      </c>
      <c r="N1114" s="472">
        <f>B!M234</f>
        <v>1</v>
      </c>
      <c r="O1114" s="472">
        <f>B!N234</f>
        <v>1</v>
      </c>
      <c r="P1114" s="472">
        <f>B!O234</f>
        <v>1</v>
      </c>
      <c r="Q1114" s="472">
        <f>SUM(E1114:P1114)</f>
        <v>12</v>
      </c>
    </row>
    <row r="1115" spans="1:17" s="222" customFormat="1" x14ac:dyDescent="0.2">
      <c r="A1115" s="259">
        <f>A1114+1</f>
        <v>24</v>
      </c>
      <c r="C1115" s="222" t="s">
        <v>210</v>
      </c>
      <c r="D1115" s="781">
        <f>Input!U50</f>
        <v>1062.95</v>
      </c>
      <c r="E1115" s="427">
        <f t="shared" ref="E1115:P1115" si="339">ROUND(E1114*$D$1115,2)</f>
        <v>1062.95</v>
      </c>
      <c r="F1115" s="427">
        <f t="shared" si="339"/>
        <v>1062.95</v>
      </c>
      <c r="G1115" s="427">
        <f t="shared" si="339"/>
        <v>1062.95</v>
      </c>
      <c r="H1115" s="427">
        <f t="shared" si="339"/>
        <v>1062.95</v>
      </c>
      <c r="I1115" s="427">
        <f t="shared" si="339"/>
        <v>1062.95</v>
      </c>
      <c r="J1115" s="427">
        <f t="shared" si="339"/>
        <v>1062.95</v>
      </c>
      <c r="K1115" s="427">
        <f t="shared" si="339"/>
        <v>1062.95</v>
      </c>
      <c r="L1115" s="427">
        <f t="shared" si="339"/>
        <v>1062.95</v>
      </c>
      <c r="M1115" s="427">
        <f t="shared" si="339"/>
        <v>1062.95</v>
      </c>
      <c r="N1115" s="427">
        <f t="shared" si="339"/>
        <v>1062.95</v>
      </c>
      <c r="O1115" s="427">
        <f t="shared" si="339"/>
        <v>1062.95</v>
      </c>
      <c r="P1115" s="427">
        <f t="shared" si="339"/>
        <v>1062.95</v>
      </c>
      <c r="Q1115" s="427">
        <f>SUM(E1115:P1115)</f>
        <v>12755.400000000003</v>
      </c>
    </row>
    <row r="1116" spans="1:17" s="222" customFormat="1" x14ac:dyDescent="0.2">
      <c r="A1116" s="259">
        <f>A1115+1</f>
        <v>25</v>
      </c>
      <c r="C1116" s="222" t="s">
        <v>217</v>
      </c>
      <c r="D1116" s="781">
        <f>Input!V50</f>
        <v>0</v>
      </c>
      <c r="E1116" s="427">
        <f t="shared" ref="E1116:P1116" si="340">ROUND(E1114*$D$1116,2)</f>
        <v>0</v>
      </c>
      <c r="F1116" s="427">
        <f t="shared" si="340"/>
        <v>0</v>
      </c>
      <c r="G1116" s="427">
        <f t="shared" si="340"/>
        <v>0</v>
      </c>
      <c r="H1116" s="427">
        <f t="shared" si="340"/>
        <v>0</v>
      </c>
      <c r="I1116" s="427">
        <f t="shared" si="340"/>
        <v>0</v>
      </c>
      <c r="J1116" s="427">
        <f t="shared" si="340"/>
        <v>0</v>
      </c>
      <c r="K1116" s="427">
        <f t="shared" si="340"/>
        <v>0</v>
      </c>
      <c r="L1116" s="427">
        <f t="shared" si="340"/>
        <v>0</v>
      </c>
      <c r="M1116" s="427">
        <f t="shared" si="340"/>
        <v>0</v>
      </c>
      <c r="N1116" s="427">
        <f t="shared" si="340"/>
        <v>0</v>
      </c>
      <c r="O1116" s="427">
        <f t="shared" si="340"/>
        <v>0</v>
      </c>
      <c r="P1116" s="427">
        <f t="shared" si="340"/>
        <v>0</v>
      </c>
      <c r="Q1116" s="427">
        <f>SUM(E1116:P1116)</f>
        <v>0</v>
      </c>
    </row>
    <row r="1117" spans="1:17" s="222" customFormat="1" x14ac:dyDescent="0.2">
      <c r="A1117" s="259"/>
      <c r="D1117" s="286"/>
      <c r="F1117" s="288"/>
      <c r="G1117" s="469"/>
      <c r="H1117" s="288"/>
      <c r="I1117" s="293"/>
      <c r="J1117" s="288"/>
      <c r="K1117" s="288"/>
      <c r="L1117" s="288"/>
      <c r="M1117" s="288"/>
      <c r="N1117" s="288"/>
      <c r="O1117" s="288"/>
      <c r="P1117" s="288"/>
    </row>
    <row r="1118" spans="1:17" s="222" customFormat="1" x14ac:dyDescent="0.2">
      <c r="A1118" s="259">
        <f>A1116+1</f>
        <v>26</v>
      </c>
      <c r="C1118" s="222" t="s">
        <v>209</v>
      </c>
      <c r="D1118" s="286"/>
      <c r="E1118" s="293">
        <f>'C'!D355</f>
        <v>44010</v>
      </c>
      <c r="F1118" s="293">
        <f>'C'!E355</f>
        <v>56724</v>
      </c>
      <c r="G1118" s="293">
        <f>'C'!F355</f>
        <v>33252</v>
      </c>
      <c r="H1118" s="293">
        <f>'C'!G355</f>
        <v>47922</v>
      </c>
      <c r="I1118" s="293">
        <f>'C'!H355</f>
        <v>37164</v>
      </c>
      <c r="J1118" s="293">
        <f>'C'!I355</f>
        <v>37164</v>
      </c>
      <c r="K1118" s="293">
        <f>'C'!J355</f>
        <v>39120</v>
      </c>
      <c r="L1118" s="293">
        <f>'C'!K355</f>
        <v>37164</v>
      </c>
      <c r="M1118" s="293">
        <f>'C'!L355</f>
        <v>41076</v>
      </c>
      <c r="N1118" s="293">
        <f>'C'!M355</f>
        <v>50856</v>
      </c>
      <c r="O1118" s="293">
        <f>'C'!N355</f>
        <v>54768</v>
      </c>
      <c r="P1118" s="293">
        <f>'C'!O355</f>
        <v>54768</v>
      </c>
      <c r="Q1118" s="293">
        <f>SUM(E1118:P1118)</f>
        <v>533988</v>
      </c>
    </row>
    <row r="1119" spans="1:17" s="222" customFormat="1" x14ac:dyDescent="0.2">
      <c r="A1119" s="259">
        <f>A1118+1</f>
        <v>27</v>
      </c>
      <c r="C1119" s="286" t="s">
        <v>207</v>
      </c>
      <c r="D1119" s="782">
        <f>Input!P50</f>
        <v>0.39</v>
      </c>
      <c r="E1119" s="427">
        <f t="shared" ref="E1119:P1119" si="341">ROUND(E1118*$D$1119,2)</f>
        <v>17163.900000000001</v>
      </c>
      <c r="F1119" s="427">
        <f t="shared" si="341"/>
        <v>22122.36</v>
      </c>
      <c r="G1119" s="427">
        <f t="shared" si="341"/>
        <v>12968.28</v>
      </c>
      <c r="H1119" s="427">
        <f t="shared" si="341"/>
        <v>18689.580000000002</v>
      </c>
      <c r="I1119" s="427">
        <f t="shared" si="341"/>
        <v>14493.96</v>
      </c>
      <c r="J1119" s="427">
        <f t="shared" si="341"/>
        <v>14493.96</v>
      </c>
      <c r="K1119" s="427">
        <f t="shared" si="341"/>
        <v>15256.8</v>
      </c>
      <c r="L1119" s="427">
        <f t="shared" si="341"/>
        <v>14493.96</v>
      </c>
      <c r="M1119" s="427">
        <f t="shared" si="341"/>
        <v>16019.64</v>
      </c>
      <c r="N1119" s="427">
        <f t="shared" si="341"/>
        <v>19833.84</v>
      </c>
      <c r="O1119" s="427">
        <f t="shared" si="341"/>
        <v>21359.52</v>
      </c>
      <c r="P1119" s="427">
        <f t="shared" si="341"/>
        <v>21359.52</v>
      </c>
      <c r="Q1119" s="427">
        <f>SUM(E1119:P1119)</f>
        <v>208255.31999999998</v>
      </c>
    </row>
    <row r="1120" spans="1:17" s="222" customFormat="1" x14ac:dyDescent="0.2">
      <c r="A1120" s="259"/>
      <c r="C1120" s="286"/>
      <c r="D1120" s="286"/>
      <c r="F1120" s="288"/>
      <c r="G1120" s="469"/>
      <c r="H1120" s="288"/>
      <c r="I1120" s="293"/>
      <c r="J1120" s="288"/>
      <c r="K1120" s="288"/>
      <c r="L1120" s="288"/>
      <c r="M1120" s="288"/>
      <c r="N1120" s="288"/>
      <c r="O1120" s="288"/>
      <c r="P1120" s="288"/>
      <c r="Q1120" s="536"/>
    </row>
    <row r="1121" spans="1:17" s="222" customFormat="1" x14ac:dyDescent="0.2">
      <c r="A1121" s="259">
        <f>A1119+1</f>
        <v>28</v>
      </c>
      <c r="C1121" s="286" t="s">
        <v>204</v>
      </c>
      <c r="D1121" s="286"/>
      <c r="E1121" s="427">
        <f t="shared" ref="E1121:P1121" si="342">E1115+E1116+E1119</f>
        <v>18226.850000000002</v>
      </c>
      <c r="F1121" s="427">
        <f t="shared" si="342"/>
        <v>23185.31</v>
      </c>
      <c r="G1121" s="427">
        <f t="shared" si="342"/>
        <v>14031.230000000001</v>
      </c>
      <c r="H1121" s="427">
        <f t="shared" si="342"/>
        <v>19752.530000000002</v>
      </c>
      <c r="I1121" s="427">
        <f t="shared" si="342"/>
        <v>15556.91</v>
      </c>
      <c r="J1121" s="427">
        <f t="shared" si="342"/>
        <v>15556.91</v>
      </c>
      <c r="K1121" s="427">
        <f t="shared" si="342"/>
        <v>16319.75</v>
      </c>
      <c r="L1121" s="427">
        <f t="shared" si="342"/>
        <v>15556.91</v>
      </c>
      <c r="M1121" s="427">
        <f t="shared" si="342"/>
        <v>17082.59</v>
      </c>
      <c r="N1121" s="427">
        <f t="shared" si="342"/>
        <v>20896.79</v>
      </c>
      <c r="O1121" s="427">
        <f t="shared" si="342"/>
        <v>22422.47</v>
      </c>
      <c r="P1121" s="427">
        <f t="shared" si="342"/>
        <v>22422.47</v>
      </c>
      <c r="Q1121" s="427">
        <f>SUM(E1121:P1121)</f>
        <v>221010.72000000003</v>
      </c>
    </row>
    <row r="1122" spans="1:17" s="222" customFormat="1" x14ac:dyDescent="0.2">
      <c r="A1122" s="259"/>
      <c r="C1122" s="286"/>
      <c r="D1122" s="286"/>
      <c r="F1122" s="288"/>
      <c r="G1122" s="469"/>
      <c r="H1122" s="288"/>
      <c r="I1122" s="293"/>
      <c r="J1122" s="288"/>
      <c r="K1122" s="288"/>
      <c r="L1122" s="288"/>
      <c r="M1122" s="288"/>
      <c r="N1122" s="288"/>
      <c r="O1122" s="288"/>
      <c r="P1122" s="288"/>
      <c r="Q1122" s="536"/>
    </row>
    <row r="1123" spans="1:17" s="222" customFormat="1" x14ac:dyDescent="0.2">
      <c r="A1123" s="259">
        <f>A1121+1</f>
        <v>29</v>
      </c>
      <c r="C1123" s="222" t="s">
        <v>151</v>
      </c>
      <c r="D1123" s="783">
        <v>0</v>
      </c>
      <c r="E1123" s="510">
        <v>0</v>
      </c>
      <c r="F1123" s="510">
        <v>0</v>
      </c>
      <c r="G1123" s="510">
        <v>0</v>
      </c>
      <c r="H1123" s="510">
        <v>0</v>
      </c>
      <c r="I1123" s="510">
        <v>0</v>
      </c>
      <c r="J1123" s="510">
        <v>0</v>
      </c>
      <c r="K1123" s="510">
        <v>0</v>
      </c>
      <c r="L1123" s="510">
        <v>0</v>
      </c>
      <c r="M1123" s="510">
        <v>0</v>
      </c>
      <c r="N1123" s="510">
        <v>0</v>
      </c>
      <c r="O1123" s="510">
        <v>0</v>
      </c>
      <c r="P1123" s="510">
        <v>0</v>
      </c>
      <c r="Q1123" s="427">
        <f>SUM(E1123:P1123)</f>
        <v>0</v>
      </c>
    </row>
    <row r="1124" spans="1:17" s="222" customFormat="1" x14ac:dyDescent="0.2">
      <c r="A1124" s="259"/>
      <c r="D1124" s="286"/>
      <c r="F1124" s="288"/>
      <c r="G1124" s="469"/>
      <c r="H1124" s="288"/>
      <c r="I1124" s="293"/>
      <c r="J1124" s="288"/>
      <c r="K1124" s="288"/>
      <c r="L1124" s="288"/>
      <c r="M1124" s="288"/>
      <c r="N1124" s="288"/>
      <c r="O1124" s="288"/>
      <c r="P1124" s="288"/>
      <c r="Q1124" s="469"/>
    </row>
    <row r="1125" spans="1:17" s="222" customFormat="1" ht="10.8" thickBot="1" x14ac:dyDescent="0.25">
      <c r="A1125" s="717">
        <f>A1123+1</f>
        <v>30</v>
      </c>
      <c r="B1125" s="489"/>
      <c r="C1125" s="718" t="s">
        <v>205</v>
      </c>
      <c r="D1125" s="719"/>
      <c r="E1125" s="492">
        <f t="shared" ref="E1125:P1125" si="343">E1121+E1123</f>
        <v>18226.850000000002</v>
      </c>
      <c r="F1125" s="492">
        <f t="shared" si="343"/>
        <v>23185.31</v>
      </c>
      <c r="G1125" s="492">
        <f t="shared" si="343"/>
        <v>14031.230000000001</v>
      </c>
      <c r="H1125" s="492">
        <f t="shared" si="343"/>
        <v>19752.530000000002</v>
      </c>
      <c r="I1125" s="492">
        <f t="shared" si="343"/>
        <v>15556.91</v>
      </c>
      <c r="J1125" s="492">
        <f t="shared" si="343"/>
        <v>15556.91</v>
      </c>
      <c r="K1125" s="492">
        <f t="shared" si="343"/>
        <v>16319.75</v>
      </c>
      <c r="L1125" s="492">
        <f t="shared" si="343"/>
        <v>15556.91</v>
      </c>
      <c r="M1125" s="492">
        <f t="shared" si="343"/>
        <v>17082.59</v>
      </c>
      <c r="N1125" s="492">
        <f t="shared" si="343"/>
        <v>20896.79</v>
      </c>
      <c r="O1125" s="492">
        <f t="shared" si="343"/>
        <v>22422.47</v>
      </c>
      <c r="P1125" s="492">
        <f t="shared" si="343"/>
        <v>22422.47</v>
      </c>
      <c r="Q1125" s="492">
        <f>SUM(E1125:P1125)</f>
        <v>221010.72000000003</v>
      </c>
    </row>
    <row r="1126" spans="1:17" s="222" customFormat="1" ht="10.8" thickTop="1" x14ac:dyDescent="0.2">
      <c r="A1126" s="259"/>
      <c r="D1126" s="286"/>
      <c r="F1126" s="288"/>
      <c r="G1126" s="469"/>
      <c r="H1126" s="288"/>
      <c r="I1126" s="293"/>
      <c r="J1126" s="288"/>
      <c r="K1126" s="288"/>
      <c r="L1126" s="288"/>
      <c r="M1126" s="288"/>
      <c r="N1126" s="288"/>
      <c r="O1126" s="288"/>
      <c r="P1126" s="288"/>
      <c r="Q1126" s="469"/>
    </row>
    <row r="1127" spans="1:17" s="222" customFormat="1" x14ac:dyDescent="0.2">
      <c r="A1127" s="259"/>
      <c r="D1127" s="286"/>
      <c r="F1127" s="288"/>
      <c r="G1127" s="469"/>
      <c r="H1127" s="288"/>
      <c r="I1127" s="293"/>
      <c r="J1127" s="288"/>
      <c r="K1127" s="288"/>
      <c r="L1127" s="288"/>
      <c r="M1127" s="288"/>
      <c r="N1127" s="288"/>
      <c r="O1127" s="288"/>
      <c r="P1127" s="288"/>
    </row>
    <row r="1128" spans="1:17" s="222" customFormat="1" x14ac:dyDescent="0.2">
      <c r="A1128" s="622" t="str">
        <f>$A$265</f>
        <v>[1] Reflects Normalized Volumes.</v>
      </c>
      <c r="D1128" s="286"/>
      <c r="F1128" s="288"/>
      <c r="G1128" s="469"/>
      <c r="H1128" s="288"/>
      <c r="I1128" s="293"/>
      <c r="J1128" s="288"/>
      <c r="K1128" s="288"/>
      <c r="L1128" s="288"/>
      <c r="M1128" s="288"/>
      <c r="N1128" s="288"/>
      <c r="O1128" s="288"/>
      <c r="P1128" s="288"/>
    </row>
    <row r="1129" spans="1:17" s="222" customFormat="1" x14ac:dyDescent="0.2">
      <c r="A1129" s="995" t="str">
        <f>CONAME</f>
        <v>Columbia Gas of Kentucky, Inc.</v>
      </c>
      <c r="B1129" s="995"/>
      <c r="C1129" s="995"/>
      <c r="D1129" s="995"/>
      <c r="E1129" s="995"/>
      <c r="F1129" s="995"/>
      <c r="G1129" s="995"/>
      <c r="H1129" s="995"/>
      <c r="I1129" s="995"/>
      <c r="J1129" s="995"/>
      <c r="K1129" s="995"/>
      <c r="L1129" s="995"/>
      <c r="M1129" s="995"/>
      <c r="N1129" s="995"/>
      <c r="O1129" s="995"/>
      <c r="P1129" s="995"/>
      <c r="Q1129" s="995"/>
    </row>
    <row r="1130" spans="1:17" s="222" customFormat="1" x14ac:dyDescent="0.2">
      <c r="A1130" s="978" t="str">
        <f>case</f>
        <v>Case No. 2016-00162</v>
      </c>
      <c r="B1130" s="978"/>
      <c r="C1130" s="978"/>
      <c r="D1130" s="978"/>
      <c r="E1130" s="978"/>
      <c r="F1130" s="978"/>
      <c r="G1130" s="978"/>
      <c r="H1130" s="978"/>
      <c r="I1130" s="978"/>
      <c r="J1130" s="978"/>
      <c r="K1130" s="978"/>
      <c r="L1130" s="978"/>
      <c r="M1130" s="978"/>
      <c r="N1130" s="978"/>
      <c r="O1130" s="978"/>
      <c r="P1130" s="978"/>
      <c r="Q1130" s="978"/>
    </row>
    <row r="1131" spans="1:17" s="222" customFormat="1" x14ac:dyDescent="0.2">
      <c r="A1131" s="996" t="s">
        <v>200</v>
      </c>
      <c r="B1131" s="996"/>
      <c r="C1131" s="996"/>
      <c r="D1131" s="996"/>
      <c r="E1131" s="996"/>
      <c r="F1131" s="996"/>
      <c r="G1131" s="996"/>
      <c r="H1131" s="996"/>
      <c r="I1131" s="996"/>
      <c r="J1131" s="996"/>
      <c r="K1131" s="996"/>
      <c r="L1131" s="996"/>
      <c r="M1131" s="996"/>
      <c r="N1131" s="996"/>
      <c r="O1131" s="996"/>
      <c r="P1131" s="996"/>
      <c r="Q1131" s="996"/>
    </row>
    <row r="1132" spans="1:17" s="222" customFormat="1" x14ac:dyDescent="0.2">
      <c r="A1132" s="995" t="str">
        <f>TYDESC</f>
        <v>For the 12 Months Ended December 31, 2017</v>
      </c>
      <c r="B1132" s="995"/>
      <c r="C1132" s="995"/>
      <c r="D1132" s="995"/>
      <c r="E1132" s="995"/>
      <c r="F1132" s="995"/>
      <c r="G1132" s="995"/>
      <c r="H1132" s="995"/>
      <c r="I1132" s="995"/>
      <c r="J1132" s="995"/>
      <c r="K1132" s="995"/>
      <c r="L1132" s="995"/>
      <c r="M1132" s="995"/>
      <c r="N1132" s="995"/>
      <c r="O1132" s="995"/>
      <c r="P1132" s="995"/>
      <c r="Q1132" s="995"/>
    </row>
    <row r="1133" spans="1:17" s="222" customFormat="1" x14ac:dyDescent="0.2">
      <c r="A1133" s="997" t="s">
        <v>39</v>
      </c>
      <c r="B1133" s="997"/>
      <c r="C1133" s="997"/>
      <c r="D1133" s="997"/>
      <c r="E1133" s="997"/>
      <c r="F1133" s="997"/>
      <c r="G1133" s="997"/>
      <c r="H1133" s="997"/>
      <c r="I1133" s="997"/>
      <c r="J1133" s="997"/>
      <c r="K1133" s="997"/>
      <c r="L1133" s="997"/>
      <c r="M1133" s="997"/>
      <c r="N1133" s="997"/>
      <c r="O1133" s="997"/>
      <c r="P1133" s="997"/>
      <c r="Q1133" s="997"/>
    </row>
    <row r="1134" spans="1:17" s="222" customFormat="1" x14ac:dyDescent="0.2">
      <c r="A1134" s="711" t="str">
        <f>$A$52</f>
        <v>Data: __ Base Period _X_ Forecasted Period</v>
      </c>
      <c r="D1134" s="286"/>
      <c r="F1134" s="288"/>
      <c r="G1134" s="469"/>
      <c r="H1134" s="288"/>
      <c r="I1134" s="293"/>
      <c r="J1134" s="288"/>
      <c r="K1134" s="288"/>
      <c r="L1134" s="288"/>
      <c r="M1134" s="288"/>
      <c r="N1134" s="288"/>
      <c r="O1134" s="288"/>
      <c r="P1134" s="288"/>
    </row>
    <row r="1135" spans="1:17" s="222" customFormat="1" x14ac:dyDescent="0.2">
      <c r="A1135" s="711" t="str">
        <f>$A$53</f>
        <v>Type of Filing: X Original _ Update _ Revised</v>
      </c>
      <c r="D1135" s="286"/>
      <c r="F1135" s="288"/>
      <c r="G1135" s="469"/>
      <c r="H1135" s="288"/>
      <c r="I1135" s="293"/>
      <c r="J1135" s="288"/>
      <c r="K1135" s="288"/>
      <c r="L1135" s="288"/>
      <c r="M1135" s="288"/>
      <c r="N1135" s="288"/>
      <c r="O1135" s="288"/>
      <c r="P1135" s="288"/>
      <c r="Q1135" s="720" t="str">
        <f>$Q$53</f>
        <v>Schedule M-2.3</v>
      </c>
    </row>
    <row r="1136" spans="1:17" s="222" customFormat="1" x14ac:dyDescent="0.2">
      <c r="A1136" s="711" t="str">
        <f>$A$54</f>
        <v>Work Paper Reference No(s):</v>
      </c>
      <c r="D1136" s="286"/>
      <c r="F1136" s="288"/>
      <c r="G1136" s="469"/>
      <c r="H1136" s="288"/>
      <c r="I1136" s="293"/>
      <c r="J1136" s="288"/>
      <c r="K1136" s="288"/>
      <c r="L1136" s="288"/>
      <c r="M1136" s="288"/>
      <c r="N1136" s="288"/>
      <c r="O1136" s="288"/>
      <c r="P1136" s="288"/>
      <c r="Q1136" s="720" t="s">
        <v>507</v>
      </c>
    </row>
    <row r="1137" spans="1:17" s="222" customFormat="1" x14ac:dyDescent="0.2">
      <c r="A1137" s="712" t="str">
        <f>$A$55</f>
        <v>12 Months Forecasted</v>
      </c>
      <c r="D1137" s="286"/>
      <c r="F1137" s="288"/>
      <c r="G1137" s="469"/>
      <c r="H1137" s="288"/>
      <c r="I1137" s="293"/>
      <c r="J1137" s="288"/>
      <c r="K1137" s="288"/>
      <c r="L1137" s="288"/>
      <c r="M1137" s="288"/>
      <c r="N1137" s="288"/>
      <c r="O1137" s="288"/>
      <c r="P1137" s="288"/>
      <c r="Q1137" s="720" t="str">
        <f>Witness</f>
        <v>Witness:  M. J. Bell</v>
      </c>
    </row>
    <row r="1138" spans="1:17" s="222" customFormat="1" x14ac:dyDescent="0.2">
      <c r="A1138" s="998" t="s">
        <v>293</v>
      </c>
      <c r="B1138" s="998"/>
      <c r="C1138" s="998"/>
      <c r="D1138" s="998"/>
      <c r="E1138" s="998"/>
      <c r="F1138" s="998"/>
      <c r="G1138" s="998"/>
      <c r="H1138" s="998"/>
      <c r="I1138" s="998"/>
      <c r="J1138" s="998"/>
      <c r="K1138" s="998"/>
      <c r="L1138" s="998"/>
      <c r="M1138" s="998"/>
      <c r="N1138" s="998"/>
      <c r="O1138" s="998"/>
      <c r="P1138" s="998"/>
      <c r="Q1138" s="998"/>
    </row>
    <row r="1139" spans="1:17" s="222" customFormat="1" x14ac:dyDescent="0.2">
      <c r="A1139" s="225"/>
      <c r="B1139" s="302"/>
      <c r="C1139" s="302"/>
      <c r="D1139" s="304"/>
      <c r="E1139" s="302"/>
      <c r="F1139" s="495"/>
      <c r="G1139" s="496"/>
      <c r="H1139" s="495"/>
      <c r="I1139" s="497"/>
      <c r="J1139" s="495"/>
      <c r="K1139" s="495"/>
      <c r="L1139" s="495"/>
      <c r="M1139" s="495"/>
      <c r="N1139" s="495"/>
      <c r="O1139" s="495"/>
      <c r="P1139" s="495"/>
      <c r="Q1139" s="302"/>
    </row>
    <row r="1140" spans="1:17" s="222" customFormat="1" x14ac:dyDescent="0.2">
      <c r="A1140" s="410" t="s">
        <v>1</v>
      </c>
      <c r="B1140" s="410" t="s">
        <v>0</v>
      </c>
      <c r="C1140" s="410" t="s">
        <v>41</v>
      </c>
      <c r="D1140" s="416" t="s">
        <v>30</v>
      </c>
      <c r="E1140" s="410"/>
      <c r="F1140" s="722"/>
      <c r="G1140" s="725"/>
      <c r="H1140" s="722"/>
      <c r="I1140" s="726"/>
      <c r="J1140" s="722"/>
      <c r="K1140" s="722"/>
      <c r="L1140" s="722"/>
      <c r="M1140" s="722"/>
      <c r="N1140" s="722"/>
      <c r="O1140" s="722"/>
      <c r="P1140" s="421"/>
      <c r="Q1140" s="230"/>
    </row>
    <row r="1141" spans="1:17" s="222" customFormat="1" x14ac:dyDescent="0.2">
      <c r="A1141" s="281" t="s">
        <v>3</v>
      </c>
      <c r="B1141" s="281" t="s">
        <v>40</v>
      </c>
      <c r="C1141" s="281" t="s">
        <v>4</v>
      </c>
      <c r="D1141" s="420" t="s">
        <v>48</v>
      </c>
      <c r="E1141" s="421" t="str">
        <f>B!$D$11</f>
        <v>Jan-17</v>
      </c>
      <c r="F1141" s="421" t="str">
        <f>B!$E$11</f>
        <v>Feb-17</v>
      </c>
      <c r="G1141" s="421" t="str">
        <f>B!$F$11</f>
        <v>Mar-17</v>
      </c>
      <c r="H1141" s="421" t="str">
        <f>B!$G$11</f>
        <v>Apr-17</v>
      </c>
      <c r="I1141" s="421" t="str">
        <f>B!$H$11</f>
        <v>May-17</v>
      </c>
      <c r="J1141" s="421" t="str">
        <f>B!$I$11</f>
        <v>Jun-17</v>
      </c>
      <c r="K1141" s="421" t="str">
        <f>B!$J$11</f>
        <v>Jul-17</v>
      </c>
      <c r="L1141" s="421" t="str">
        <f>B!$K$11</f>
        <v>Aug-17</v>
      </c>
      <c r="M1141" s="421" t="str">
        <f>B!$L$11</f>
        <v>Sep-17</v>
      </c>
      <c r="N1141" s="421" t="str">
        <f>B!$M$11</f>
        <v>Oct-17</v>
      </c>
      <c r="O1141" s="421" t="str">
        <f>B!$N$11</f>
        <v>Nov-17</v>
      </c>
      <c r="P1141" s="421" t="str">
        <f>B!$O$11</f>
        <v>Dec-17</v>
      </c>
      <c r="Q1141" s="421" t="s">
        <v>9</v>
      </c>
    </row>
    <row r="1142" spans="1:17" s="222" customFormat="1" ht="20.100000000000001" customHeight="1" x14ac:dyDescent="0.2">
      <c r="A1142" s="410"/>
      <c r="B1142" s="229" t="s">
        <v>42</v>
      </c>
      <c r="C1142" s="229" t="s">
        <v>43</v>
      </c>
      <c r="D1142" s="423" t="s">
        <v>45</v>
      </c>
      <c r="E1142" s="424" t="s">
        <v>46</v>
      </c>
      <c r="F1142" s="424" t="s">
        <v>49</v>
      </c>
      <c r="G1142" s="424" t="s">
        <v>50</v>
      </c>
      <c r="H1142" s="424" t="s">
        <v>51</v>
      </c>
      <c r="I1142" s="424" t="s">
        <v>52</v>
      </c>
      <c r="J1142" s="425" t="s">
        <v>53</v>
      </c>
      <c r="K1142" s="425" t="s">
        <v>54</v>
      </c>
      <c r="L1142" s="425" t="s">
        <v>55</v>
      </c>
      <c r="M1142" s="425" t="s">
        <v>56</v>
      </c>
      <c r="N1142" s="425" t="s">
        <v>57</v>
      </c>
      <c r="O1142" s="425" t="s">
        <v>58</v>
      </c>
      <c r="P1142" s="425" t="s">
        <v>59</v>
      </c>
      <c r="Q1142" s="425" t="s">
        <v>203</v>
      </c>
    </row>
    <row r="1143" spans="1:17" s="222" customFormat="1" x14ac:dyDescent="0.2">
      <c r="A1143" s="259"/>
      <c r="D1143" s="286"/>
      <c r="E1143" s="230"/>
      <c r="F1143" s="727"/>
      <c r="G1143" s="723"/>
      <c r="H1143" s="727"/>
      <c r="I1143" s="724"/>
      <c r="J1143" s="727"/>
      <c r="K1143" s="727"/>
      <c r="L1143" s="727"/>
      <c r="M1143" s="727"/>
      <c r="N1143" s="727"/>
      <c r="O1143" s="727"/>
      <c r="P1143" s="727"/>
      <c r="Q1143" s="230"/>
    </row>
    <row r="1144" spans="1:17" s="222" customFormat="1" x14ac:dyDescent="0.2">
      <c r="A1144" s="259">
        <v>1</v>
      </c>
      <c r="B1144" s="222" t="str">
        <f>B313</f>
        <v>FX5</v>
      </c>
      <c r="C1144" s="222" t="str">
        <f>C313</f>
        <v>GTS Flex Rate - Industrial</v>
      </c>
      <c r="D1144" s="286"/>
      <c r="F1144" s="288"/>
      <c r="G1144" s="469"/>
      <c r="H1144" s="288"/>
      <c r="I1144" s="293"/>
      <c r="J1144" s="288"/>
      <c r="K1144" s="288"/>
      <c r="L1144" s="288"/>
      <c r="M1144" s="288"/>
      <c r="N1144" s="288"/>
      <c r="O1144" s="288"/>
      <c r="P1144" s="288"/>
    </row>
    <row r="1145" spans="1:17" s="222" customFormat="1" x14ac:dyDescent="0.2">
      <c r="A1145" s="259"/>
      <c r="D1145" s="286"/>
      <c r="F1145" s="288"/>
      <c r="G1145" s="469"/>
      <c r="H1145" s="288"/>
      <c r="I1145" s="293"/>
      <c r="J1145" s="288"/>
      <c r="K1145" s="288"/>
      <c r="L1145" s="288"/>
      <c r="M1145" s="288"/>
      <c r="N1145" s="288"/>
      <c r="O1145" s="288"/>
      <c r="P1145" s="288"/>
    </row>
    <row r="1146" spans="1:17" s="222" customFormat="1" x14ac:dyDescent="0.2">
      <c r="A1146" s="259">
        <f>A1144+1</f>
        <v>2</v>
      </c>
      <c r="C1146" s="262" t="s">
        <v>112</v>
      </c>
      <c r="D1146" s="286"/>
      <c r="F1146" s="288"/>
      <c r="G1146" s="469"/>
      <c r="H1146" s="288"/>
      <c r="I1146" s="293"/>
      <c r="J1146" s="288"/>
      <c r="K1146" s="288"/>
      <c r="L1146" s="288"/>
      <c r="M1146" s="288"/>
      <c r="N1146" s="288"/>
      <c r="O1146" s="288"/>
      <c r="P1146" s="288"/>
    </row>
    <row r="1147" spans="1:17" s="222" customFormat="1" x14ac:dyDescent="0.2">
      <c r="A1147" s="259"/>
      <c r="C1147" s="262"/>
      <c r="D1147" s="286"/>
      <c r="F1147" s="288"/>
      <c r="G1147" s="469"/>
      <c r="H1147" s="288"/>
      <c r="I1147" s="293"/>
      <c r="J1147" s="288"/>
      <c r="K1147" s="288"/>
      <c r="L1147" s="288"/>
      <c r="M1147" s="288"/>
      <c r="N1147" s="288"/>
      <c r="O1147" s="288"/>
      <c r="P1147" s="288"/>
    </row>
    <row r="1148" spans="1:17" s="222" customFormat="1" x14ac:dyDescent="0.2">
      <c r="A1148" s="259">
        <f>A1146+1</f>
        <v>3</v>
      </c>
      <c r="C1148" s="222" t="s">
        <v>202</v>
      </c>
      <c r="D1148" s="286"/>
      <c r="E1148" s="472">
        <f>B!D240</f>
        <v>3</v>
      </c>
      <c r="F1148" s="472">
        <f>B!E240</f>
        <v>3</v>
      </c>
      <c r="G1148" s="472">
        <f>B!F240</f>
        <v>3</v>
      </c>
      <c r="H1148" s="472">
        <f>B!G240</f>
        <v>3</v>
      </c>
      <c r="I1148" s="472">
        <f>B!H240</f>
        <v>3</v>
      </c>
      <c r="J1148" s="472">
        <f>B!I240</f>
        <v>3</v>
      </c>
      <c r="K1148" s="472">
        <f>B!J240</f>
        <v>3</v>
      </c>
      <c r="L1148" s="472">
        <f>B!K240</f>
        <v>3</v>
      </c>
      <c r="M1148" s="472">
        <f>B!L240</f>
        <v>3</v>
      </c>
      <c r="N1148" s="472">
        <f>B!M240</f>
        <v>3</v>
      </c>
      <c r="O1148" s="472">
        <f>B!N240</f>
        <v>3</v>
      </c>
      <c r="P1148" s="472">
        <f>B!O240</f>
        <v>3</v>
      </c>
      <c r="Q1148" s="472">
        <f>SUM(E1148:P1148)</f>
        <v>36</v>
      </c>
    </row>
    <row r="1149" spans="1:17" s="222" customFormat="1" x14ac:dyDescent="0.2">
      <c r="A1149" s="259">
        <f>A1148+1</f>
        <v>4</v>
      </c>
      <c r="C1149" s="222" t="s">
        <v>210</v>
      </c>
      <c r="D1149" s="781">
        <f>Input!U51</f>
        <v>255.9</v>
      </c>
      <c r="E1149" s="427">
        <f t="shared" ref="E1149:P1149" si="344">ROUND(E1148*$D$1149,2)</f>
        <v>767.7</v>
      </c>
      <c r="F1149" s="427">
        <f t="shared" si="344"/>
        <v>767.7</v>
      </c>
      <c r="G1149" s="427">
        <f t="shared" si="344"/>
        <v>767.7</v>
      </c>
      <c r="H1149" s="427">
        <f t="shared" si="344"/>
        <v>767.7</v>
      </c>
      <c r="I1149" s="427">
        <f t="shared" si="344"/>
        <v>767.7</v>
      </c>
      <c r="J1149" s="427">
        <f t="shared" si="344"/>
        <v>767.7</v>
      </c>
      <c r="K1149" s="427">
        <f t="shared" si="344"/>
        <v>767.7</v>
      </c>
      <c r="L1149" s="427">
        <f t="shared" si="344"/>
        <v>767.7</v>
      </c>
      <c r="M1149" s="427">
        <f t="shared" si="344"/>
        <v>767.7</v>
      </c>
      <c r="N1149" s="427">
        <f t="shared" si="344"/>
        <v>767.7</v>
      </c>
      <c r="O1149" s="427">
        <f t="shared" si="344"/>
        <v>767.7</v>
      </c>
      <c r="P1149" s="427">
        <f t="shared" si="344"/>
        <v>767.7</v>
      </c>
      <c r="Q1149" s="427">
        <f>SUM(E1149:P1149)</f>
        <v>9212.4</v>
      </c>
    </row>
    <row r="1150" spans="1:17" s="222" customFormat="1" x14ac:dyDescent="0.2">
      <c r="A1150" s="259">
        <f>A1149+1</f>
        <v>5</v>
      </c>
      <c r="C1150" s="222" t="s">
        <v>217</v>
      </c>
      <c r="D1150" s="781">
        <f>Input!V51</f>
        <v>0</v>
      </c>
      <c r="E1150" s="427">
        <f t="shared" ref="E1150:P1150" si="345">ROUND(E1148*$D$1150,2)</f>
        <v>0</v>
      </c>
      <c r="F1150" s="427">
        <f t="shared" si="345"/>
        <v>0</v>
      </c>
      <c r="G1150" s="427">
        <f t="shared" si="345"/>
        <v>0</v>
      </c>
      <c r="H1150" s="427">
        <f t="shared" si="345"/>
        <v>0</v>
      </c>
      <c r="I1150" s="427">
        <f t="shared" si="345"/>
        <v>0</v>
      </c>
      <c r="J1150" s="427">
        <f t="shared" si="345"/>
        <v>0</v>
      </c>
      <c r="K1150" s="427">
        <f t="shared" si="345"/>
        <v>0</v>
      </c>
      <c r="L1150" s="427">
        <f t="shared" si="345"/>
        <v>0</v>
      </c>
      <c r="M1150" s="427">
        <f t="shared" si="345"/>
        <v>0</v>
      </c>
      <c r="N1150" s="427">
        <f t="shared" si="345"/>
        <v>0</v>
      </c>
      <c r="O1150" s="427">
        <f t="shared" si="345"/>
        <v>0</v>
      </c>
      <c r="P1150" s="427">
        <f t="shared" si="345"/>
        <v>0</v>
      </c>
      <c r="Q1150" s="427">
        <f>SUM(E1150:P1150)</f>
        <v>0</v>
      </c>
    </row>
    <row r="1151" spans="1:17" s="222" customFormat="1" x14ac:dyDescent="0.2">
      <c r="A1151" s="259"/>
      <c r="D1151" s="286"/>
      <c r="F1151" s="288"/>
      <c r="G1151" s="469"/>
      <c r="H1151" s="288"/>
      <c r="I1151" s="293"/>
      <c r="J1151" s="288"/>
      <c r="K1151" s="288"/>
      <c r="L1151" s="288"/>
      <c r="M1151" s="288"/>
      <c r="N1151" s="288"/>
      <c r="O1151" s="288"/>
      <c r="P1151" s="288"/>
    </row>
    <row r="1152" spans="1:17" s="222" customFormat="1" x14ac:dyDescent="0.2">
      <c r="A1152" s="259">
        <f>A1150+1</f>
        <v>6</v>
      </c>
      <c r="C1152" s="222" t="s">
        <v>209</v>
      </c>
      <c r="D1152" s="286"/>
      <c r="E1152" s="293">
        <f>'C'!D358</f>
        <v>411738</v>
      </c>
      <c r="F1152" s="293">
        <f>'C'!E358</f>
        <v>369684</v>
      </c>
      <c r="G1152" s="293">
        <f>'C'!F358</f>
        <v>397068</v>
      </c>
      <c r="H1152" s="293">
        <f>'C'!G358</f>
        <v>381420</v>
      </c>
      <c r="I1152" s="293">
        <f>'C'!H358</f>
        <v>392178</v>
      </c>
      <c r="J1152" s="293">
        <f>'C'!I358</f>
        <v>381420</v>
      </c>
      <c r="K1152" s="293">
        <f>'C'!J358</f>
        <v>392178</v>
      </c>
      <c r="L1152" s="293">
        <f>'C'!K358</f>
        <v>392178</v>
      </c>
      <c r="M1152" s="293">
        <f>'C'!L358</f>
        <v>381420</v>
      </c>
      <c r="N1152" s="293">
        <f>'C'!M358</f>
        <v>397068</v>
      </c>
      <c r="O1152" s="293">
        <f>'C'!N358</f>
        <v>391200</v>
      </c>
      <c r="P1152" s="293">
        <f>'C'!O358</f>
        <v>401958</v>
      </c>
      <c r="Q1152" s="293">
        <f>SUM(E1152:P1152)</f>
        <v>4689510</v>
      </c>
    </row>
    <row r="1153" spans="1:17" s="222" customFormat="1" x14ac:dyDescent="0.2">
      <c r="A1153" s="259">
        <f>A1152+1</f>
        <v>7</v>
      </c>
      <c r="C1153" s="286" t="s">
        <v>207</v>
      </c>
      <c r="D1153" s="782">
        <f>Input!P51</f>
        <v>8.5800000000000001E-2</v>
      </c>
      <c r="E1153" s="427">
        <f t="shared" ref="E1153:P1153" si="346">ROUND(E1152*$D$1153,2)</f>
        <v>35327.120000000003</v>
      </c>
      <c r="F1153" s="427">
        <f t="shared" si="346"/>
        <v>31718.89</v>
      </c>
      <c r="G1153" s="427">
        <f t="shared" si="346"/>
        <v>34068.43</v>
      </c>
      <c r="H1153" s="427">
        <f t="shared" si="346"/>
        <v>32725.84</v>
      </c>
      <c r="I1153" s="427">
        <f t="shared" si="346"/>
        <v>33648.870000000003</v>
      </c>
      <c r="J1153" s="427">
        <f t="shared" si="346"/>
        <v>32725.84</v>
      </c>
      <c r="K1153" s="427">
        <f t="shared" si="346"/>
        <v>33648.870000000003</v>
      </c>
      <c r="L1153" s="427">
        <f t="shared" si="346"/>
        <v>33648.870000000003</v>
      </c>
      <c r="M1153" s="427">
        <f t="shared" si="346"/>
        <v>32725.84</v>
      </c>
      <c r="N1153" s="427">
        <f t="shared" si="346"/>
        <v>34068.43</v>
      </c>
      <c r="O1153" s="427">
        <f t="shared" si="346"/>
        <v>33564.959999999999</v>
      </c>
      <c r="P1153" s="427">
        <f t="shared" si="346"/>
        <v>34488</v>
      </c>
      <c r="Q1153" s="427">
        <f>SUM(E1153:P1153)</f>
        <v>402359.96</v>
      </c>
    </row>
    <row r="1154" spans="1:17" s="222" customFormat="1" x14ac:dyDescent="0.2">
      <c r="A1154" s="259"/>
      <c r="C1154" s="286"/>
      <c r="D1154" s="286"/>
      <c r="F1154" s="288"/>
      <c r="G1154" s="469"/>
      <c r="H1154" s="288"/>
      <c r="I1154" s="293"/>
      <c r="J1154" s="288"/>
      <c r="K1154" s="288"/>
      <c r="L1154" s="288"/>
      <c r="M1154" s="288"/>
      <c r="N1154" s="288"/>
      <c r="O1154" s="288"/>
      <c r="P1154" s="288"/>
      <c r="Q1154" s="536"/>
    </row>
    <row r="1155" spans="1:17" s="222" customFormat="1" x14ac:dyDescent="0.2">
      <c r="A1155" s="259">
        <f>A1153+1</f>
        <v>8</v>
      </c>
      <c r="C1155" s="286" t="s">
        <v>204</v>
      </c>
      <c r="D1155" s="286"/>
      <c r="E1155" s="427">
        <f t="shared" ref="E1155:P1155" si="347">E1149+E1150+E1153</f>
        <v>36094.82</v>
      </c>
      <c r="F1155" s="427">
        <f t="shared" si="347"/>
        <v>32486.59</v>
      </c>
      <c r="G1155" s="427">
        <f t="shared" si="347"/>
        <v>34836.129999999997</v>
      </c>
      <c r="H1155" s="427">
        <f t="shared" si="347"/>
        <v>33493.54</v>
      </c>
      <c r="I1155" s="427">
        <f t="shared" si="347"/>
        <v>34416.57</v>
      </c>
      <c r="J1155" s="427">
        <f t="shared" si="347"/>
        <v>33493.54</v>
      </c>
      <c r="K1155" s="427">
        <f t="shared" si="347"/>
        <v>34416.57</v>
      </c>
      <c r="L1155" s="427">
        <f t="shared" si="347"/>
        <v>34416.57</v>
      </c>
      <c r="M1155" s="427">
        <f t="shared" si="347"/>
        <v>33493.54</v>
      </c>
      <c r="N1155" s="427">
        <f t="shared" si="347"/>
        <v>34836.129999999997</v>
      </c>
      <c r="O1155" s="427">
        <f t="shared" si="347"/>
        <v>34332.659999999996</v>
      </c>
      <c r="P1155" s="427">
        <f t="shared" si="347"/>
        <v>35255.699999999997</v>
      </c>
      <c r="Q1155" s="427">
        <f>SUM(E1155:P1155)</f>
        <v>411572.36</v>
      </c>
    </row>
    <row r="1156" spans="1:17" s="222" customFormat="1" x14ac:dyDescent="0.2">
      <c r="A1156" s="259"/>
      <c r="C1156" s="286"/>
      <c r="D1156" s="286"/>
      <c r="F1156" s="288"/>
      <c r="G1156" s="469"/>
      <c r="H1156" s="288"/>
      <c r="I1156" s="293"/>
      <c r="J1156" s="288"/>
      <c r="K1156" s="288"/>
      <c r="L1156" s="288"/>
      <c r="M1156" s="288"/>
      <c r="N1156" s="288"/>
      <c r="O1156" s="288"/>
      <c r="P1156" s="288"/>
      <c r="Q1156" s="536"/>
    </row>
    <row r="1157" spans="1:17" s="222" customFormat="1" x14ac:dyDescent="0.2">
      <c r="A1157" s="259">
        <f>A1155+1</f>
        <v>9</v>
      </c>
      <c r="C1157" s="222" t="s">
        <v>151</v>
      </c>
      <c r="D1157" s="783">
        <v>0</v>
      </c>
      <c r="E1157" s="510">
        <v>0</v>
      </c>
      <c r="F1157" s="510">
        <v>0</v>
      </c>
      <c r="G1157" s="510">
        <v>0</v>
      </c>
      <c r="H1157" s="510">
        <v>0</v>
      </c>
      <c r="I1157" s="510">
        <v>0</v>
      </c>
      <c r="J1157" s="510">
        <v>0</v>
      </c>
      <c r="K1157" s="510">
        <v>0</v>
      </c>
      <c r="L1157" s="510">
        <v>0</v>
      </c>
      <c r="M1157" s="510">
        <v>0</v>
      </c>
      <c r="N1157" s="510">
        <v>0</v>
      </c>
      <c r="O1157" s="510">
        <v>0</v>
      </c>
      <c r="P1157" s="510">
        <v>0</v>
      </c>
      <c r="Q1157" s="427">
        <f>SUM(E1157:P1157)</f>
        <v>0</v>
      </c>
    </row>
    <row r="1158" spans="1:17" s="222" customFormat="1" x14ac:dyDescent="0.2">
      <c r="A1158" s="259"/>
      <c r="D1158" s="286"/>
      <c r="F1158" s="288"/>
      <c r="G1158" s="469"/>
      <c r="H1158" s="288"/>
      <c r="I1158" s="293"/>
      <c r="J1158" s="288"/>
      <c r="K1158" s="288"/>
      <c r="L1158" s="288"/>
      <c r="M1158" s="288"/>
      <c r="N1158" s="288"/>
      <c r="O1158" s="288"/>
      <c r="P1158" s="288"/>
      <c r="Q1158" s="469"/>
    </row>
    <row r="1159" spans="1:17" s="222" customFormat="1" ht="10.8" thickBot="1" x14ac:dyDescent="0.25">
      <c r="A1159" s="717">
        <f>A1157+1</f>
        <v>10</v>
      </c>
      <c r="B1159" s="489"/>
      <c r="C1159" s="718" t="s">
        <v>205</v>
      </c>
      <c r="D1159" s="719"/>
      <c r="E1159" s="492">
        <f t="shared" ref="E1159:P1159" si="348">E1155+E1157</f>
        <v>36094.82</v>
      </c>
      <c r="F1159" s="492">
        <f t="shared" si="348"/>
        <v>32486.59</v>
      </c>
      <c r="G1159" s="492">
        <f t="shared" si="348"/>
        <v>34836.129999999997</v>
      </c>
      <c r="H1159" s="492">
        <f t="shared" si="348"/>
        <v>33493.54</v>
      </c>
      <c r="I1159" s="492">
        <f t="shared" si="348"/>
        <v>34416.57</v>
      </c>
      <c r="J1159" s="492">
        <f t="shared" si="348"/>
        <v>33493.54</v>
      </c>
      <c r="K1159" s="492">
        <f t="shared" si="348"/>
        <v>34416.57</v>
      </c>
      <c r="L1159" s="492">
        <f t="shared" si="348"/>
        <v>34416.57</v>
      </c>
      <c r="M1159" s="492">
        <f t="shared" si="348"/>
        <v>33493.54</v>
      </c>
      <c r="N1159" s="492">
        <f t="shared" si="348"/>
        <v>34836.129999999997</v>
      </c>
      <c r="O1159" s="492">
        <f t="shared" si="348"/>
        <v>34332.659999999996</v>
      </c>
      <c r="P1159" s="492">
        <f t="shared" si="348"/>
        <v>35255.699999999997</v>
      </c>
      <c r="Q1159" s="492">
        <f>SUM(E1159:P1159)</f>
        <v>411572.36</v>
      </c>
    </row>
    <row r="1160" spans="1:17" s="222" customFormat="1" ht="10.8" thickTop="1" x14ac:dyDescent="0.2">
      <c r="A1160" s="259"/>
      <c r="D1160" s="286"/>
      <c r="F1160" s="288"/>
      <c r="G1160" s="469"/>
      <c r="H1160" s="288"/>
      <c r="I1160" s="293"/>
      <c r="J1160" s="288"/>
      <c r="K1160" s="288"/>
      <c r="L1160" s="288"/>
      <c r="M1160" s="288"/>
      <c r="N1160" s="288"/>
      <c r="O1160" s="288"/>
      <c r="P1160" s="288"/>
      <c r="Q1160" s="469"/>
    </row>
    <row r="1161" spans="1:17" s="222" customFormat="1" x14ac:dyDescent="0.2">
      <c r="A1161" s="259"/>
      <c r="D1161" s="286"/>
      <c r="F1161" s="288"/>
      <c r="G1161" s="469"/>
      <c r="H1161" s="288"/>
      <c r="I1161" s="293"/>
      <c r="J1161" s="288"/>
      <c r="K1161" s="288"/>
      <c r="L1161" s="288"/>
      <c r="M1161" s="288"/>
      <c r="N1161" s="288"/>
      <c r="O1161" s="288"/>
      <c r="P1161" s="288"/>
    </row>
    <row r="1162" spans="1:17" s="222" customFormat="1" x14ac:dyDescent="0.2">
      <c r="A1162" s="259">
        <f>A1159+1</f>
        <v>11</v>
      </c>
      <c r="B1162" s="222" t="str">
        <f>B320</f>
        <v>FX7</v>
      </c>
      <c r="C1162" s="222" t="str">
        <f>C320</f>
        <v>GTS Flex Rate - Industrial</v>
      </c>
      <c r="D1162" s="286"/>
      <c r="F1162" s="288"/>
      <c r="G1162" s="469"/>
      <c r="H1162" s="288"/>
      <c r="I1162" s="293"/>
      <c r="J1162" s="288"/>
      <c r="K1162" s="288"/>
      <c r="L1162" s="288"/>
      <c r="M1162" s="288"/>
      <c r="N1162" s="288"/>
      <c r="O1162" s="288"/>
      <c r="P1162" s="288"/>
    </row>
    <row r="1163" spans="1:17" s="222" customFormat="1" x14ac:dyDescent="0.2">
      <c r="A1163" s="259"/>
      <c r="D1163" s="286"/>
      <c r="F1163" s="288"/>
      <c r="G1163" s="469"/>
      <c r="H1163" s="288"/>
      <c r="I1163" s="293"/>
      <c r="J1163" s="288"/>
      <c r="K1163" s="288"/>
      <c r="L1163" s="288"/>
      <c r="M1163" s="288"/>
      <c r="N1163" s="288"/>
      <c r="O1163" s="288"/>
      <c r="P1163" s="288"/>
    </row>
    <row r="1164" spans="1:17" s="222" customFormat="1" x14ac:dyDescent="0.2">
      <c r="A1164" s="259">
        <f>A1162+1</f>
        <v>12</v>
      </c>
      <c r="C1164" s="262" t="s">
        <v>112</v>
      </c>
      <c r="D1164" s="286"/>
      <c r="F1164" s="288"/>
      <c r="G1164" s="469"/>
      <c r="H1164" s="288"/>
      <c r="I1164" s="293"/>
      <c r="J1164" s="288"/>
      <c r="K1164" s="288"/>
      <c r="L1164" s="288"/>
      <c r="M1164" s="288"/>
      <c r="N1164" s="288"/>
      <c r="O1164" s="288"/>
      <c r="P1164" s="288"/>
    </row>
    <row r="1165" spans="1:17" s="222" customFormat="1" x14ac:dyDescent="0.2">
      <c r="A1165" s="259"/>
      <c r="C1165" s="262"/>
      <c r="D1165" s="286"/>
      <c r="F1165" s="288"/>
      <c r="G1165" s="469"/>
      <c r="H1165" s="288"/>
      <c r="I1165" s="293"/>
      <c r="J1165" s="288"/>
      <c r="K1165" s="288"/>
      <c r="L1165" s="288"/>
      <c r="M1165" s="288"/>
      <c r="N1165" s="288"/>
      <c r="O1165" s="288"/>
      <c r="P1165" s="288"/>
    </row>
    <row r="1166" spans="1:17" s="222" customFormat="1" x14ac:dyDescent="0.2">
      <c r="A1166" s="259">
        <f>A1164+1</f>
        <v>13</v>
      </c>
      <c r="C1166" s="222" t="s">
        <v>202</v>
      </c>
      <c r="D1166" s="286"/>
      <c r="E1166" s="472">
        <f>B!D246</f>
        <v>1</v>
      </c>
      <c r="F1166" s="472">
        <f>B!E246</f>
        <v>1</v>
      </c>
      <c r="G1166" s="472">
        <f>B!F246</f>
        <v>1</v>
      </c>
      <c r="H1166" s="472">
        <f>B!G246</f>
        <v>1</v>
      </c>
      <c r="I1166" s="472">
        <f>B!H246</f>
        <v>1</v>
      </c>
      <c r="J1166" s="472">
        <f>B!I246</f>
        <v>1</v>
      </c>
      <c r="K1166" s="472">
        <f>B!J246</f>
        <v>1</v>
      </c>
      <c r="L1166" s="472">
        <f>B!K246</f>
        <v>1</v>
      </c>
      <c r="M1166" s="472">
        <f>B!L246</f>
        <v>1</v>
      </c>
      <c r="N1166" s="472">
        <f>B!M246</f>
        <v>1</v>
      </c>
      <c r="O1166" s="472">
        <f>B!N246</f>
        <v>1</v>
      </c>
      <c r="P1166" s="472">
        <f>B!O246</f>
        <v>1</v>
      </c>
      <c r="Q1166" s="472">
        <f>SUM(E1166:P1166)</f>
        <v>12</v>
      </c>
    </row>
    <row r="1167" spans="1:17" s="222" customFormat="1" x14ac:dyDescent="0.2">
      <c r="A1167" s="259">
        <f>A1166+1</f>
        <v>14</v>
      </c>
      <c r="C1167" s="222" t="s">
        <v>210</v>
      </c>
      <c r="D1167" s="781">
        <f>Input!U52</f>
        <v>1062.95</v>
      </c>
      <c r="E1167" s="427">
        <f t="shared" ref="E1167:P1167" si="349">ROUND(E1166*$D$1167,2)</f>
        <v>1062.95</v>
      </c>
      <c r="F1167" s="427">
        <f t="shared" si="349"/>
        <v>1062.95</v>
      </c>
      <c r="G1167" s="427">
        <f t="shared" si="349"/>
        <v>1062.95</v>
      </c>
      <c r="H1167" s="427">
        <f t="shared" si="349"/>
        <v>1062.95</v>
      </c>
      <c r="I1167" s="427">
        <f t="shared" si="349"/>
        <v>1062.95</v>
      </c>
      <c r="J1167" s="427">
        <f t="shared" si="349"/>
        <v>1062.95</v>
      </c>
      <c r="K1167" s="427">
        <f t="shared" si="349"/>
        <v>1062.95</v>
      </c>
      <c r="L1167" s="427">
        <f t="shared" si="349"/>
        <v>1062.95</v>
      </c>
      <c r="M1167" s="427">
        <f t="shared" si="349"/>
        <v>1062.95</v>
      </c>
      <c r="N1167" s="427">
        <f t="shared" si="349"/>
        <v>1062.95</v>
      </c>
      <c r="O1167" s="427">
        <f t="shared" si="349"/>
        <v>1062.95</v>
      </c>
      <c r="P1167" s="427">
        <f t="shared" si="349"/>
        <v>1062.95</v>
      </c>
      <c r="Q1167" s="427">
        <f>SUM(E1167:P1167)</f>
        <v>12755.400000000003</v>
      </c>
    </row>
    <row r="1168" spans="1:17" s="222" customFormat="1" x14ac:dyDescent="0.2">
      <c r="A1168" s="259">
        <f>A1167+1</f>
        <v>15</v>
      </c>
      <c r="C1168" s="222" t="s">
        <v>217</v>
      </c>
      <c r="D1168" s="781">
        <f>Input!V52</f>
        <v>0</v>
      </c>
      <c r="E1168" s="427">
        <f t="shared" ref="E1168:P1168" si="350">ROUND(E1166*$D$1168,2)</f>
        <v>0</v>
      </c>
      <c r="F1168" s="427">
        <f t="shared" si="350"/>
        <v>0</v>
      </c>
      <c r="G1168" s="427">
        <f t="shared" si="350"/>
        <v>0</v>
      </c>
      <c r="H1168" s="427">
        <f t="shared" si="350"/>
        <v>0</v>
      </c>
      <c r="I1168" s="427">
        <f t="shared" si="350"/>
        <v>0</v>
      </c>
      <c r="J1168" s="427">
        <f t="shared" si="350"/>
        <v>0</v>
      </c>
      <c r="K1168" s="427">
        <f t="shared" si="350"/>
        <v>0</v>
      </c>
      <c r="L1168" s="427">
        <f t="shared" si="350"/>
        <v>0</v>
      </c>
      <c r="M1168" s="427">
        <f t="shared" si="350"/>
        <v>0</v>
      </c>
      <c r="N1168" s="427">
        <f t="shared" si="350"/>
        <v>0</v>
      </c>
      <c r="O1168" s="427">
        <f t="shared" si="350"/>
        <v>0</v>
      </c>
      <c r="P1168" s="427">
        <f t="shared" si="350"/>
        <v>0</v>
      </c>
      <c r="Q1168" s="427">
        <f>SUM(E1168:P1168)</f>
        <v>0</v>
      </c>
    </row>
    <row r="1169" spans="1:17" s="222" customFormat="1" x14ac:dyDescent="0.2">
      <c r="A1169" s="259"/>
      <c r="D1169" s="286"/>
      <c r="F1169" s="288"/>
      <c r="G1169" s="469"/>
      <c r="H1169" s="288"/>
      <c r="I1169" s="293"/>
      <c r="J1169" s="507"/>
      <c r="K1169" s="288"/>
      <c r="L1169" s="288"/>
      <c r="M1169" s="288"/>
      <c r="N1169" s="288"/>
      <c r="O1169" s="288"/>
      <c r="P1169" s="288"/>
    </row>
    <row r="1170" spans="1:17" s="222" customFormat="1" x14ac:dyDescent="0.2">
      <c r="A1170" s="259">
        <f>A1168+1</f>
        <v>16</v>
      </c>
      <c r="C1170" s="222" t="s">
        <v>209</v>
      </c>
      <c r="D1170" s="286"/>
      <c r="E1170" s="514"/>
      <c r="F1170" s="288"/>
      <c r="G1170" s="469"/>
      <c r="H1170" s="288"/>
      <c r="I1170" s="293"/>
      <c r="J1170" s="507"/>
      <c r="K1170" s="288"/>
      <c r="L1170" s="288"/>
      <c r="M1170" s="288"/>
      <c r="N1170" s="288"/>
      <c r="O1170" s="288"/>
      <c r="P1170" s="288"/>
    </row>
    <row r="1171" spans="1:17" s="222" customFormat="1" x14ac:dyDescent="0.2">
      <c r="A1171" s="259">
        <f>A1170+1</f>
        <v>17</v>
      </c>
      <c r="C1171" s="286" t="str">
        <f>'C'!B364</f>
        <v xml:space="preserve">    First 25,000 Mcf</v>
      </c>
      <c r="D1171" s="782"/>
      <c r="E1171" s="293">
        <f>'C'!D372</f>
        <v>25000</v>
      </c>
      <c r="F1171" s="293">
        <f>'C'!E372</f>
        <v>25000</v>
      </c>
      <c r="G1171" s="293">
        <f>'C'!F372</f>
        <v>25000</v>
      </c>
      <c r="H1171" s="293">
        <f>'C'!G372</f>
        <v>25000</v>
      </c>
      <c r="I1171" s="293">
        <f>'C'!H372</f>
        <v>25000</v>
      </c>
      <c r="J1171" s="293">
        <f>'C'!I372</f>
        <v>25000</v>
      </c>
      <c r="K1171" s="293">
        <f>'C'!J372</f>
        <v>25000</v>
      </c>
      <c r="L1171" s="293">
        <f>'C'!K372</f>
        <v>25000</v>
      </c>
      <c r="M1171" s="293">
        <f>'C'!L372</f>
        <v>25000</v>
      </c>
      <c r="N1171" s="293">
        <f>'C'!M372</f>
        <v>25000</v>
      </c>
      <c r="O1171" s="293">
        <f>'C'!N372</f>
        <v>25000</v>
      </c>
      <c r="P1171" s="293">
        <f>'C'!O372</f>
        <v>25000</v>
      </c>
      <c r="Q1171" s="293">
        <f>SUM(E1171:P1171)</f>
        <v>300000</v>
      </c>
    </row>
    <row r="1172" spans="1:17" s="222" customFormat="1" x14ac:dyDescent="0.2">
      <c r="A1172" s="259">
        <f>A1171+1</f>
        <v>18</v>
      </c>
      <c r="C1172" s="286" t="str">
        <f>'C'!B365</f>
        <v xml:space="preserve">    Over 25,000 Mcf</v>
      </c>
      <c r="E1172" s="515">
        <f>'C'!D373</f>
        <v>19077</v>
      </c>
      <c r="F1172" s="515">
        <f>'C'!E373</f>
        <v>1389</v>
      </c>
      <c r="G1172" s="515">
        <f>'C'!F373</f>
        <v>5000</v>
      </c>
      <c r="H1172" s="515">
        <f>'C'!G373</f>
        <v>5000</v>
      </c>
      <c r="I1172" s="515">
        <f>'C'!H373</f>
        <v>5000</v>
      </c>
      <c r="J1172" s="515">
        <f>'C'!I373</f>
        <v>5000</v>
      </c>
      <c r="K1172" s="515">
        <f>'C'!J373</f>
        <v>5000</v>
      </c>
      <c r="L1172" s="515">
        <f>'C'!K373</f>
        <v>5000</v>
      </c>
      <c r="M1172" s="515">
        <f>'C'!L373</f>
        <v>20000</v>
      </c>
      <c r="N1172" s="515">
        <f>'C'!M373</f>
        <v>20000</v>
      </c>
      <c r="O1172" s="515">
        <f>'C'!N373</f>
        <v>14555</v>
      </c>
      <c r="P1172" s="515">
        <f>'C'!O373</f>
        <v>14979</v>
      </c>
      <c r="Q1172" s="515">
        <f>SUM(E1172:P1172)</f>
        <v>120000</v>
      </c>
    </row>
    <row r="1173" spans="1:17" s="222" customFormat="1" x14ac:dyDescent="0.2">
      <c r="A1173" s="259"/>
      <c r="C1173" s="286"/>
      <c r="D1173" s="295"/>
      <c r="E1173" s="293">
        <f t="shared" ref="E1173:P1173" si="351">SUM(E1171:E1172)</f>
        <v>44077</v>
      </c>
      <c r="F1173" s="293">
        <f t="shared" si="351"/>
        <v>26389</v>
      </c>
      <c r="G1173" s="293">
        <f t="shared" si="351"/>
        <v>30000</v>
      </c>
      <c r="H1173" s="293">
        <f t="shared" si="351"/>
        <v>30000</v>
      </c>
      <c r="I1173" s="293">
        <f t="shared" si="351"/>
        <v>30000</v>
      </c>
      <c r="J1173" s="293">
        <f t="shared" si="351"/>
        <v>30000</v>
      </c>
      <c r="K1173" s="293">
        <f t="shared" si="351"/>
        <v>30000</v>
      </c>
      <c r="L1173" s="293">
        <f t="shared" si="351"/>
        <v>30000</v>
      </c>
      <c r="M1173" s="293">
        <f t="shared" si="351"/>
        <v>45000</v>
      </c>
      <c r="N1173" s="293">
        <f t="shared" si="351"/>
        <v>45000</v>
      </c>
      <c r="O1173" s="293">
        <f t="shared" si="351"/>
        <v>39555</v>
      </c>
      <c r="P1173" s="293">
        <f t="shared" si="351"/>
        <v>39979</v>
      </c>
      <c r="Q1173" s="293">
        <f>SUM(E1173:P1173)</f>
        <v>420000</v>
      </c>
    </row>
    <row r="1174" spans="1:17" s="222" customFormat="1" x14ac:dyDescent="0.2">
      <c r="A1174" s="259">
        <f>A1172+1</f>
        <v>19</v>
      </c>
      <c r="C1174" s="286" t="s">
        <v>207</v>
      </c>
      <c r="D1174" s="512"/>
      <c r="E1174" s="295"/>
      <c r="F1174" s="535"/>
      <c r="G1174" s="536"/>
      <c r="H1174" s="535"/>
      <c r="I1174" s="515"/>
      <c r="J1174" s="537"/>
      <c r="K1174" s="535"/>
      <c r="L1174" s="535"/>
      <c r="M1174" s="535"/>
      <c r="N1174" s="535"/>
      <c r="O1174" s="535"/>
      <c r="P1174" s="535"/>
      <c r="Q1174" s="469"/>
    </row>
    <row r="1175" spans="1:17" s="222" customFormat="1" x14ac:dyDescent="0.2">
      <c r="A1175" s="259">
        <f>A1174+1</f>
        <v>20</v>
      </c>
      <c r="C1175" s="286" t="str">
        <f>C1171</f>
        <v xml:space="preserve">    First 25,000 Mcf</v>
      </c>
      <c r="D1175" s="782">
        <f>Input!P52</f>
        <v>0.49</v>
      </c>
      <c r="E1175" s="427">
        <f t="shared" ref="E1175:P1175" si="352">ROUND(E1171*$D$1175,2)</f>
        <v>12250</v>
      </c>
      <c r="F1175" s="427">
        <f t="shared" si="352"/>
        <v>12250</v>
      </c>
      <c r="G1175" s="427">
        <f t="shared" si="352"/>
        <v>12250</v>
      </c>
      <c r="H1175" s="427">
        <f t="shared" si="352"/>
        <v>12250</v>
      </c>
      <c r="I1175" s="427">
        <f t="shared" si="352"/>
        <v>12250</v>
      </c>
      <c r="J1175" s="427">
        <f t="shared" si="352"/>
        <v>12250</v>
      </c>
      <c r="K1175" s="427">
        <f t="shared" si="352"/>
        <v>12250</v>
      </c>
      <c r="L1175" s="427">
        <f t="shared" si="352"/>
        <v>12250</v>
      </c>
      <c r="M1175" s="427">
        <f t="shared" si="352"/>
        <v>12250</v>
      </c>
      <c r="N1175" s="427">
        <f t="shared" si="352"/>
        <v>12250</v>
      </c>
      <c r="O1175" s="427">
        <f t="shared" si="352"/>
        <v>12250</v>
      </c>
      <c r="P1175" s="427">
        <f t="shared" si="352"/>
        <v>12250</v>
      </c>
      <c r="Q1175" s="427">
        <f>SUM(E1175:P1175)</f>
        <v>147000</v>
      </c>
    </row>
    <row r="1176" spans="1:17" s="222" customFormat="1" x14ac:dyDescent="0.2">
      <c r="A1176" s="259">
        <f>A1175+1</f>
        <v>21</v>
      </c>
      <c r="C1176" s="286" t="str">
        <f>C1172</f>
        <v xml:space="preserve">    Over 25,000 Mcf</v>
      </c>
      <c r="D1176" s="782">
        <f>Input!Q52</f>
        <v>0.27</v>
      </c>
      <c r="E1176" s="273">
        <f t="shared" ref="E1176:P1176" si="353">ROUND(E1172*$D$1176,2)</f>
        <v>5150.79</v>
      </c>
      <c r="F1176" s="273">
        <f t="shared" si="353"/>
        <v>375.03</v>
      </c>
      <c r="G1176" s="273">
        <f t="shared" si="353"/>
        <v>1350</v>
      </c>
      <c r="H1176" s="273">
        <f t="shared" si="353"/>
        <v>1350</v>
      </c>
      <c r="I1176" s="273">
        <f t="shared" si="353"/>
        <v>1350</v>
      </c>
      <c r="J1176" s="273">
        <f t="shared" si="353"/>
        <v>1350</v>
      </c>
      <c r="K1176" s="273">
        <f t="shared" si="353"/>
        <v>1350</v>
      </c>
      <c r="L1176" s="273">
        <f t="shared" si="353"/>
        <v>1350</v>
      </c>
      <c r="M1176" s="273">
        <f t="shared" si="353"/>
        <v>5400</v>
      </c>
      <c r="N1176" s="273">
        <f t="shared" si="353"/>
        <v>5400</v>
      </c>
      <c r="O1176" s="273">
        <f t="shared" si="353"/>
        <v>3929.85</v>
      </c>
      <c r="P1176" s="273">
        <f t="shared" si="353"/>
        <v>4044.33</v>
      </c>
      <c r="Q1176" s="273">
        <f>SUM(E1176:P1176)</f>
        <v>32400</v>
      </c>
    </row>
    <row r="1177" spans="1:17" s="222" customFormat="1" x14ac:dyDescent="0.2">
      <c r="A1177" s="259"/>
      <c r="C1177" s="286"/>
      <c r="D1177" s="512"/>
      <c r="E1177" s="427">
        <f t="shared" ref="E1177:P1177" si="354">SUM(E1175:E1176)</f>
        <v>17400.79</v>
      </c>
      <c r="F1177" s="427">
        <f t="shared" si="354"/>
        <v>12625.03</v>
      </c>
      <c r="G1177" s="427">
        <f t="shared" si="354"/>
        <v>13600</v>
      </c>
      <c r="H1177" s="427">
        <f t="shared" si="354"/>
        <v>13600</v>
      </c>
      <c r="I1177" s="427">
        <f t="shared" si="354"/>
        <v>13600</v>
      </c>
      <c r="J1177" s="427">
        <f t="shared" si="354"/>
        <v>13600</v>
      </c>
      <c r="K1177" s="427">
        <f t="shared" si="354"/>
        <v>13600</v>
      </c>
      <c r="L1177" s="427">
        <f t="shared" si="354"/>
        <v>13600</v>
      </c>
      <c r="M1177" s="427">
        <f t="shared" si="354"/>
        <v>17650</v>
      </c>
      <c r="N1177" s="427">
        <f t="shared" si="354"/>
        <v>17650</v>
      </c>
      <c r="O1177" s="427">
        <f t="shared" si="354"/>
        <v>16179.85</v>
      </c>
      <c r="P1177" s="427">
        <f t="shared" si="354"/>
        <v>16294.33</v>
      </c>
      <c r="Q1177" s="427">
        <f>SUM(E1177:P1177)</f>
        <v>179400</v>
      </c>
    </row>
    <row r="1178" spans="1:17" s="222" customFormat="1" x14ac:dyDescent="0.2">
      <c r="A1178" s="259"/>
      <c r="C1178" s="286"/>
      <c r="D1178" s="512"/>
      <c r="E1178" s="295"/>
      <c r="F1178" s="535"/>
      <c r="G1178" s="536"/>
      <c r="H1178" s="535"/>
      <c r="I1178" s="515"/>
      <c r="J1178" s="537"/>
      <c r="K1178" s="535"/>
      <c r="L1178" s="535"/>
      <c r="M1178" s="535"/>
      <c r="N1178" s="535"/>
      <c r="O1178" s="535"/>
      <c r="P1178" s="535"/>
      <c r="Q1178" s="469"/>
    </row>
    <row r="1179" spans="1:17" s="222" customFormat="1" x14ac:dyDescent="0.2">
      <c r="A1179" s="259">
        <f>A1176+1</f>
        <v>22</v>
      </c>
      <c r="C1179" s="286" t="s">
        <v>204</v>
      </c>
      <c r="D1179" s="512"/>
      <c r="E1179" s="427">
        <f t="shared" ref="E1179:P1179" si="355">E1167+E1168+E1177</f>
        <v>18463.740000000002</v>
      </c>
      <c r="F1179" s="427">
        <f t="shared" si="355"/>
        <v>13687.980000000001</v>
      </c>
      <c r="G1179" s="427">
        <f t="shared" si="355"/>
        <v>14662.95</v>
      </c>
      <c r="H1179" s="427">
        <f t="shared" si="355"/>
        <v>14662.95</v>
      </c>
      <c r="I1179" s="427">
        <f t="shared" si="355"/>
        <v>14662.95</v>
      </c>
      <c r="J1179" s="427">
        <f t="shared" si="355"/>
        <v>14662.95</v>
      </c>
      <c r="K1179" s="427">
        <f t="shared" si="355"/>
        <v>14662.95</v>
      </c>
      <c r="L1179" s="427">
        <f t="shared" si="355"/>
        <v>14662.95</v>
      </c>
      <c r="M1179" s="427">
        <f t="shared" si="355"/>
        <v>18712.95</v>
      </c>
      <c r="N1179" s="427">
        <f t="shared" si="355"/>
        <v>18712.95</v>
      </c>
      <c r="O1179" s="427">
        <f t="shared" si="355"/>
        <v>17242.8</v>
      </c>
      <c r="P1179" s="427">
        <f t="shared" si="355"/>
        <v>17357.28</v>
      </c>
      <c r="Q1179" s="427">
        <f>SUM(E1179:P1179)</f>
        <v>192155.4</v>
      </c>
    </row>
    <row r="1180" spans="1:17" s="222" customFormat="1" x14ac:dyDescent="0.2">
      <c r="A1180" s="259"/>
      <c r="C1180" s="286"/>
      <c r="E1180" s="295"/>
      <c r="F1180" s="535"/>
      <c r="G1180" s="536"/>
      <c r="H1180" s="535"/>
      <c r="I1180" s="515"/>
      <c r="J1180" s="537"/>
      <c r="K1180" s="535"/>
      <c r="L1180" s="535"/>
      <c r="M1180" s="535"/>
      <c r="N1180" s="535"/>
      <c r="O1180" s="535"/>
      <c r="P1180" s="535"/>
      <c r="Q1180" s="469"/>
    </row>
    <row r="1181" spans="1:17" s="222" customFormat="1" x14ac:dyDescent="0.2">
      <c r="A1181" s="259">
        <f>A1179+1</f>
        <v>23</v>
      </c>
      <c r="C1181" s="222" t="s">
        <v>151</v>
      </c>
      <c r="D1181" s="783">
        <v>0</v>
      </c>
      <c r="E1181" s="510">
        <v>0</v>
      </c>
      <c r="F1181" s="510">
        <v>0</v>
      </c>
      <c r="G1181" s="510">
        <v>0</v>
      </c>
      <c r="H1181" s="510">
        <v>0</v>
      </c>
      <c r="I1181" s="510">
        <v>0</v>
      </c>
      <c r="J1181" s="510">
        <v>0</v>
      </c>
      <c r="K1181" s="510">
        <v>0</v>
      </c>
      <c r="L1181" s="510">
        <v>0</v>
      </c>
      <c r="M1181" s="510">
        <v>0</v>
      </c>
      <c r="N1181" s="510">
        <v>0</v>
      </c>
      <c r="O1181" s="510">
        <v>0</v>
      </c>
      <c r="P1181" s="510">
        <v>0</v>
      </c>
      <c r="Q1181" s="427">
        <f>SUM(E1181:P1181)</f>
        <v>0</v>
      </c>
    </row>
    <row r="1182" spans="1:17" s="222" customFormat="1" x14ac:dyDescent="0.2">
      <c r="A1182" s="259"/>
      <c r="D1182" s="286"/>
      <c r="F1182" s="288"/>
      <c r="G1182" s="469"/>
      <c r="H1182" s="288"/>
      <c r="I1182" s="293"/>
      <c r="J1182" s="288"/>
      <c r="K1182" s="288"/>
      <c r="L1182" s="288"/>
      <c r="M1182" s="288"/>
      <c r="N1182" s="288"/>
      <c r="O1182" s="288"/>
      <c r="P1182" s="288"/>
    </row>
    <row r="1183" spans="1:17" s="222" customFormat="1" ht="10.8" thickBot="1" x14ac:dyDescent="0.25">
      <c r="A1183" s="717">
        <f>A1181+1</f>
        <v>24</v>
      </c>
      <c r="B1183" s="489"/>
      <c r="C1183" s="718" t="s">
        <v>205</v>
      </c>
      <c r="D1183" s="719"/>
      <c r="E1183" s="492">
        <f t="shared" ref="E1183:P1183" si="356">E1179+E1181</f>
        <v>18463.740000000002</v>
      </c>
      <c r="F1183" s="492">
        <f t="shared" si="356"/>
        <v>13687.980000000001</v>
      </c>
      <c r="G1183" s="492">
        <f t="shared" si="356"/>
        <v>14662.95</v>
      </c>
      <c r="H1183" s="492">
        <f t="shared" si="356"/>
        <v>14662.95</v>
      </c>
      <c r="I1183" s="492">
        <f t="shared" si="356"/>
        <v>14662.95</v>
      </c>
      <c r="J1183" s="492">
        <f t="shared" si="356"/>
        <v>14662.95</v>
      </c>
      <c r="K1183" s="492">
        <f t="shared" si="356"/>
        <v>14662.95</v>
      </c>
      <c r="L1183" s="492">
        <f t="shared" si="356"/>
        <v>14662.95</v>
      </c>
      <c r="M1183" s="492">
        <f t="shared" si="356"/>
        <v>18712.95</v>
      </c>
      <c r="N1183" s="492">
        <f t="shared" si="356"/>
        <v>18712.95</v>
      </c>
      <c r="O1183" s="492">
        <f t="shared" si="356"/>
        <v>17242.8</v>
      </c>
      <c r="P1183" s="492">
        <f t="shared" si="356"/>
        <v>17357.28</v>
      </c>
      <c r="Q1183" s="492">
        <f>SUM(E1183:P1183)</f>
        <v>192155.4</v>
      </c>
    </row>
    <row r="1184" spans="1:17" s="222" customFormat="1" ht="10.8" thickTop="1" x14ac:dyDescent="0.2">
      <c r="A1184" s="259"/>
      <c r="C1184" s="302"/>
      <c r="D1184" s="286"/>
      <c r="F1184" s="288"/>
      <c r="G1184" s="469"/>
      <c r="H1184" s="288"/>
      <c r="I1184" s="293"/>
      <c r="J1184" s="288"/>
      <c r="K1184" s="288"/>
      <c r="L1184" s="288"/>
      <c r="M1184" s="288"/>
      <c r="N1184" s="288"/>
      <c r="O1184" s="288"/>
      <c r="P1184" s="288"/>
      <c r="Q1184" s="469"/>
    </row>
    <row r="1185" spans="1:17" s="222" customFormat="1" x14ac:dyDescent="0.2">
      <c r="A1185" s="259"/>
      <c r="D1185" s="286"/>
      <c r="F1185" s="288"/>
      <c r="G1185" s="469"/>
      <c r="H1185" s="288"/>
      <c r="I1185" s="293"/>
      <c r="J1185" s="288"/>
      <c r="K1185" s="288"/>
      <c r="L1185" s="288"/>
      <c r="M1185" s="288"/>
      <c r="N1185" s="288"/>
      <c r="O1185" s="288"/>
      <c r="P1185" s="288"/>
    </row>
    <row r="1186" spans="1:17" s="222" customFormat="1" x14ac:dyDescent="0.2">
      <c r="A1186" s="622" t="str">
        <f>$A$265</f>
        <v>[1] Reflects Normalized Volumes.</v>
      </c>
      <c r="D1186" s="286"/>
      <c r="F1186" s="288"/>
      <c r="G1186" s="469"/>
      <c r="H1186" s="288"/>
      <c r="I1186" s="293"/>
      <c r="J1186" s="288"/>
      <c r="K1186" s="288"/>
      <c r="L1186" s="288"/>
      <c r="M1186" s="288"/>
      <c r="N1186" s="288"/>
      <c r="O1186" s="288"/>
      <c r="P1186" s="288"/>
    </row>
    <row r="1187" spans="1:17" s="222" customFormat="1" x14ac:dyDescent="0.2">
      <c r="A1187" s="995" t="str">
        <f>CONAME</f>
        <v>Columbia Gas of Kentucky, Inc.</v>
      </c>
      <c r="B1187" s="995"/>
      <c r="C1187" s="995"/>
      <c r="D1187" s="995"/>
      <c r="E1187" s="995"/>
      <c r="F1187" s="995"/>
      <c r="G1187" s="995"/>
      <c r="H1187" s="995"/>
      <c r="I1187" s="995"/>
      <c r="J1187" s="995"/>
      <c r="K1187" s="995"/>
      <c r="L1187" s="995"/>
      <c r="M1187" s="995"/>
      <c r="N1187" s="995"/>
      <c r="O1187" s="995"/>
      <c r="P1187" s="995"/>
      <c r="Q1187" s="995"/>
    </row>
    <row r="1188" spans="1:17" s="222" customFormat="1" x14ac:dyDescent="0.2">
      <c r="A1188" s="978" t="str">
        <f>case</f>
        <v>Case No. 2016-00162</v>
      </c>
      <c r="B1188" s="978"/>
      <c r="C1188" s="978"/>
      <c r="D1188" s="978"/>
      <c r="E1188" s="978"/>
      <c r="F1188" s="978"/>
      <c r="G1188" s="978"/>
      <c r="H1188" s="978"/>
      <c r="I1188" s="978"/>
      <c r="J1188" s="978"/>
      <c r="K1188" s="978"/>
      <c r="L1188" s="978"/>
      <c r="M1188" s="978"/>
      <c r="N1188" s="978"/>
      <c r="O1188" s="978"/>
      <c r="P1188" s="978"/>
      <c r="Q1188" s="978"/>
    </row>
    <row r="1189" spans="1:17" s="222" customFormat="1" x14ac:dyDescent="0.2">
      <c r="A1189" s="996" t="s">
        <v>200</v>
      </c>
      <c r="B1189" s="996"/>
      <c r="C1189" s="996"/>
      <c r="D1189" s="996"/>
      <c r="E1189" s="996"/>
      <c r="F1189" s="996"/>
      <c r="G1189" s="996"/>
      <c r="H1189" s="996"/>
      <c r="I1189" s="996"/>
      <c r="J1189" s="996"/>
      <c r="K1189" s="996"/>
      <c r="L1189" s="996"/>
      <c r="M1189" s="996"/>
      <c r="N1189" s="996"/>
      <c r="O1189" s="996"/>
      <c r="P1189" s="996"/>
      <c r="Q1189" s="996"/>
    </row>
    <row r="1190" spans="1:17" s="222" customFormat="1" x14ac:dyDescent="0.2">
      <c r="A1190" s="995" t="str">
        <f>TYDESC</f>
        <v>For the 12 Months Ended December 31, 2017</v>
      </c>
      <c r="B1190" s="995"/>
      <c r="C1190" s="995"/>
      <c r="D1190" s="995"/>
      <c r="E1190" s="995"/>
      <c r="F1190" s="995"/>
      <c r="G1190" s="995"/>
      <c r="H1190" s="995"/>
      <c r="I1190" s="995"/>
      <c r="J1190" s="995"/>
      <c r="K1190" s="995"/>
      <c r="L1190" s="995"/>
      <c r="M1190" s="995"/>
      <c r="N1190" s="995"/>
      <c r="O1190" s="995"/>
      <c r="P1190" s="995"/>
      <c r="Q1190" s="995"/>
    </row>
    <row r="1191" spans="1:17" s="222" customFormat="1" x14ac:dyDescent="0.2">
      <c r="A1191" s="997" t="s">
        <v>39</v>
      </c>
      <c r="B1191" s="997"/>
      <c r="C1191" s="997"/>
      <c r="D1191" s="997"/>
      <c r="E1191" s="997"/>
      <c r="F1191" s="997"/>
      <c r="G1191" s="997"/>
      <c r="H1191" s="997"/>
      <c r="I1191" s="997"/>
      <c r="J1191" s="997"/>
      <c r="K1191" s="997"/>
      <c r="L1191" s="997"/>
      <c r="M1191" s="997"/>
      <c r="N1191" s="997"/>
      <c r="O1191" s="997"/>
      <c r="P1191" s="997"/>
      <c r="Q1191" s="997"/>
    </row>
    <row r="1192" spans="1:17" s="222" customFormat="1" x14ac:dyDescent="0.2">
      <c r="A1192" s="711" t="str">
        <f>$A$52</f>
        <v>Data: __ Base Period _X_ Forecasted Period</v>
      </c>
      <c r="D1192" s="286"/>
      <c r="F1192" s="288"/>
      <c r="G1192" s="469"/>
      <c r="H1192" s="288"/>
      <c r="I1192" s="293"/>
      <c r="J1192" s="288"/>
      <c r="K1192" s="288"/>
      <c r="L1192" s="288"/>
      <c r="M1192" s="288"/>
      <c r="N1192" s="288"/>
      <c r="O1192" s="288"/>
      <c r="P1192" s="288"/>
    </row>
    <row r="1193" spans="1:17" s="222" customFormat="1" x14ac:dyDescent="0.2">
      <c r="A1193" s="711" t="str">
        <f>$A$53</f>
        <v>Type of Filing: X Original _ Update _ Revised</v>
      </c>
      <c r="D1193" s="286"/>
      <c r="F1193" s="288"/>
      <c r="G1193" s="469"/>
      <c r="H1193" s="288"/>
      <c r="I1193" s="293"/>
      <c r="J1193" s="288"/>
      <c r="K1193" s="288"/>
      <c r="L1193" s="288"/>
      <c r="M1193" s="288"/>
      <c r="N1193" s="288"/>
      <c r="O1193" s="288"/>
      <c r="P1193" s="288"/>
      <c r="Q1193" s="720" t="str">
        <f>$Q$53</f>
        <v>Schedule M-2.3</v>
      </c>
    </row>
    <row r="1194" spans="1:17" s="222" customFormat="1" x14ac:dyDescent="0.2">
      <c r="A1194" s="711" t="str">
        <f>$A$54</f>
        <v>Work Paper Reference No(s):</v>
      </c>
      <c r="D1194" s="286"/>
      <c r="F1194" s="288"/>
      <c r="G1194" s="469"/>
      <c r="H1194" s="288"/>
      <c r="I1194" s="293"/>
      <c r="J1194" s="288"/>
      <c r="K1194" s="288"/>
      <c r="L1194" s="288"/>
      <c r="M1194" s="288"/>
      <c r="N1194" s="288"/>
      <c r="O1194" s="288"/>
      <c r="P1194" s="288"/>
      <c r="Q1194" s="720" t="s">
        <v>508</v>
      </c>
    </row>
    <row r="1195" spans="1:17" s="222" customFormat="1" x14ac:dyDescent="0.2">
      <c r="A1195" s="712" t="str">
        <f>$A$55</f>
        <v>12 Months Forecasted</v>
      </c>
      <c r="D1195" s="286"/>
      <c r="F1195" s="288"/>
      <c r="G1195" s="469"/>
      <c r="H1195" s="288"/>
      <c r="I1195" s="293"/>
      <c r="J1195" s="288"/>
      <c r="K1195" s="288"/>
      <c r="L1195" s="288"/>
      <c r="M1195" s="288"/>
      <c r="N1195" s="288"/>
      <c r="O1195" s="288"/>
      <c r="P1195" s="288"/>
      <c r="Q1195" s="720" t="str">
        <f>Witness</f>
        <v>Witness:  M. J. Bell</v>
      </c>
    </row>
    <row r="1196" spans="1:17" s="222" customFormat="1" x14ac:dyDescent="0.2">
      <c r="A1196" s="998" t="s">
        <v>293</v>
      </c>
      <c r="B1196" s="998"/>
      <c r="C1196" s="998"/>
      <c r="D1196" s="998"/>
      <c r="E1196" s="998"/>
      <c r="F1196" s="998"/>
      <c r="G1196" s="998"/>
      <c r="H1196" s="998"/>
      <c r="I1196" s="998"/>
      <c r="J1196" s="998"/>
      <c r="K1196" s="998"/>
      <c r="L1196" s="998"/>
      <c r="M1196" s="998"/>
      <c r="N1196" s="998"/>
      <c r="O1196" s="998"/>
      <c r="P1196" s="998"/>
      <c r="Q1196" s="998"/>
    </row>
    <row r="1197" spans="1:17" s="222" customFormat="1" x14ac:dyDescent="0.2">
      <c r="A1197" s="225"/>
      <c r="B1197" s="302"/>
      <c r="C1197" s="302"/>
      <c r="D1197" s="304"/>
      <c r="E1197" s="302"/>
      <c r="F1197" s="495"/>
      <c r="G1197" s="496"/>
      <c r="H1197" s="495"/>
      <c r="I1197" s="497"/>
      <c r="J1197" s="495"/>
      <c r="K1197" s="495"/>
      <c r="L1197" s="495"/>
      <c r="M1197" s="495"/>
      <c r="N1197" s="495"/>
      <c r="O1197" s="495"/>
      <c r="P1197" s="495"/>
      <c r="Q1197" s="302"/>
    </row>
    <row r="1198" spans="1:17" s="222" customFormat="1" x14ac:dyDescent="0.2">
      <c r="A1198" s="410"/>
      <c r="B1198" s="410"/>
      <c r="C1198" s="410"/>
      <c r="D1198" s="416"/>
      <c r="E1198" s="410"/>
      <c r="F1198" s="722"/>
      <c r="G1198" s="725"/>
      <c r="H1198" s="722"/>
      <c r="I1198" s="726"/>
      <c r="J1198" s="722"/>
      <c r="K1198" s="722"/>
      <c r="L1198" s="722"/>
      <c r="M1198" s="722"/>
      <c r="N1198" s="722"/>
      <c r="O1198" s="722"/>
      <c r="P1198" s="722"/>
      <c r="Q1198" s="410"/>
    </row>
    <row r="1199" spans="1:17" s="222" customFormat="1" x14ac:dyDescent="0.2">
      <c r="A1199" s="410" t="s">
        <v>1</v>
      </c>
      <c r="B1199" s="410" t="s">
        <v>0</v>
      </c>
      <c r="C1199" s="410" t="s">
        <v>41</v>
      </c>
      <c r="D1199" s="416" t="s">
        <v>30</v>
      </c>
      <c r="E1199" s="410"/>
      <c r="F1199" s="722"/>
      <c r="G1199" s="725"/>
      <c r="H1199" s="722"/>
      <c r="I1199" s="726"/>
      <c r="J1199" s="722"/>
      <c r="K1199" s="722"/>
      <c r="L1199" s="722"/>
      <c r="M1199" s="722"/>
      <c r="N1199" s="722"/>
      <c r="O1199" s="722"/>
      <c r="P1199" s="722"/>
      <c r="Q1199" s="230"/>
    </row>
    <row r="1200" spans="1:17" s="222" customFormat="1" x14ac:dyDescent="0.2">
      <c r="A1200" s="281" t="s">
        <v>3</v>
      </c>
      <c r="B1200" s="281" t="s">
        <v>40</v>
      </c>
      <c r="C1200" s="281" t="s">
        <v>4</v>
      </c>
      <c r="D1200" s="420" t="s">
        <v>48</v>
      </c>
      <c r="E1200" s="421" t="str">
        <f>B!$D$11</f>
        <v>Jan-17</v>
      </c>
      <c r="F1200" s="421" t="str">
        <f>B!$E$11</f>
        <v>Feb-17</v>
      </c>
      <c r="G1200" s="421" t="str">
        <f>B!$F$11</f>
        <v>Mar-17</v>
      </c>
      <c r="H1200" s="421" t="str">
        <f>B!$G$11</f>
        <v>Apr-17</v>
      </c>
      <c r="I1200" s="421" t="str">
        <f>B!$H$11</f>
        <v>May-17</v>
      </c>
      <c r="J1200" s="421" t="str">
        <f>B!$I$11</f>
        <v>Jun-17</v>
      </c>
      <c r="K1200" s="421" t="str">
        <f>B!$J$11</f>
        <v>Jul-17</v>
      </c>
      <c r="L1200" s="421" t="str">
        <f>B!$K$11</f>
        <v>Aug-17</v>
      </c>
      <c r="M1200" s="421" t="str">
        <f>B!$L$11</f>
        <v>Sep-17</v>
      </c>
      <c r="N1200" s="421" t="str">
        <f>B!$M$11</f>
        <v>Oct-17</v>
      </c>
      <c r="O1200" s="421" t="str">
        <f>B!$N$11</f>
        <v>Nov-17</v>
      </c>
      <c r="P1200" s="421" t="str">
        <f>B!$O$11</f>
        <v>Dec-17</v>
      </c>
      <c r="Q1200" s="421" t="s">
        <v>9</v>
      </c>
    </row>
    <row r="1201" spans="1:17" s="222" customFormat="1" x14ac:dyDescent="0.2">
      <c r="A1201" s="410"/>
      <c r="B1201" s="229" t="s">
        <v>42</v>
      </c>
      <c r="C1201" s="229" t="s">
        <v>43</v>
      </c>
      <c r="D1201" s="423" t="s">
        <v>45</v>
      </c>
      <c r="E1201" s="424" t="s">
        <v>46</v>
      </c>
      <c r="F1201" s="424" t="s">
        <v>49</v>
      </c>
      <c r="G1201" s="424" t="s">
        <v>50</v>
      </c>
      <c r="H1201" s="424" t="s">
        <v>51</v>
      </c>
      <c r="I1201" s="424" t="s">
        <v>52</v>
      </c>
      <c r="J1201" s="425" t="s">
        <v>53</v>
      </c>
      <c r="K1201" s="425" t="s">
        <v>54</v>
      </c>
      <c r="L1201" s="425" t="s">
        <v>55</v>
      </c>
      <c r="M1201" s="425" t="s">
        <v>56</v>
      </c>
      <c r="N1201" s="425" t="s">
        <v>57</v>
      </c>
      <c r="O1201" s="425" t="s">
        <v>58</v>
      </c>
      <c r="P1201" s="425" t="s">
        <v>59</v>
      </c>
      <c r="Q1201" s="425" t="s">
        <v>203</v>
      </c>
    </row>
    <row r="1202" spans="1:17" s="222" customFormat="1" x14ac:dyDescent="0.2">
      <c r="A1202" s="259"/>
      <c r="D1202" s="286"/>
      <c r="E1202" s="230"/>
      <c r="F1202" s="727"/>
      <c r="G1202" s="723"/>
      <c r="H1202" s="727"/>
      <c r="I1202" s="724"/>
      <c r="J1202" s="727"/>
      <c r="K1202" s="727"/>
      <c r="L1202" s="727"/>
      <c r="M1202" s="727"/>
      <c r="N1202" s="727"/>
      <c r="O1202" s="727"/>
      <c r="P1202" s="727"/>
      <c r="Q1202" s="230"/>
    </row>
    <row r="1203" spans="1:17" s="222" customFormat="1" x14ac:dyDescent="0.2">
      <c r="A1203" s="259">
        <v>1</v>
      </c>
      <c r="B1203" s="222" t="str">
        <f>B347</f>
        <v>SAS</v>
      </c>
      <c r="C1203" s="222" t="str">
        <f>C347</f>
        <v>GTS Special Agency Service</v>
      </c>
      <c r="D1203" s="286"/>
      <c r="F1203" s="288"/>
      <c r="G1203" s="469"/>
      <c r="H1203" s="288"/>
      <c r="I1203" s="293"/>
      <c r="J1203" s="288"/>
      <c r="K1203" s="288"/>
      <c r="L1203" s="288"/>
      <c r="M1203" s="288"/>
      <c r="N1203" s="288"/>
      <c r="O1203" s="288"/>
      <c r="P1203" s="288"/>
    </row>
    <row r="1204" spans="1:17" s="222" customFormat="1" x14ac:dyDescent="0.2">
      <c r="A1204" s="259"/>
      <c r="D1204" s="286"/>
      <c r="F1204" s="288"/>
      <c r="G1204" s="469"/>
      <c r="H1204" s="288"/>
      <c r="I1204" s="293"/>
      <c r="J1204" s="288"/>
      <c r="K1204" s="288"/>
      <c r="L1204" s="288"/>
      <c r="M1204" s="288"/>
      <c r="N1204" s="288"/>
      <c r="O1204" s="288"/>
      <c r="P1204" s="288"/>
    </row>
    <row r="1205" spans="1:17" s="222" customFormat="1" x14ac:dyDescent="0.2">
      <c r="A1205" s="259">
        <f>A1203+1</f>
        <v>2</v>
      </c>
      <c r="C1205" s="262" t="s">
        <v>111</v>
      </c>
      <c r="D1205" s="286"/>
      <c r="F1205" s="288"/>
      <c r="G1205" s="469"/>
      <c r="H1205" s="288"/>
      <c r="I1205" s="293"/>
      <c r="J1205" s="288"/>
      <c r="K1205" s="288"/>
      <c r="L1205" s="288"/>
      <c r="M1205" s="288"/>
      <c r="N1205" s="288"/>
      <c r="O1205" s="288"/>
      <c r="P1205" s="288"/>
    </row>
    <row r="1206" spans="1:17" s="222" customFormat="1" x14ac:dyDescent="0.2">
      <c r="A1206" s="259"/>
      <c r="C1206" s="262"/>
      <c r="D1206" s="286"/>
      <c r="F1206" s="288"/>
      <c r="G1206" s="469"/>
      <c r="H1206" s="288"/>
      <c r="I1206" s="293"/>
      <c r="J1206" s="288"/>
      <c r="K1206" s="288"/>
      <c r="L1206" s="288"/>
      <c r="M1206" s="288"/>
      <c r="N1206" s="288"/>
      <c r="O1206" s="288"/>
      <c r="P1206" s="288"/>
    </row>
    <row r="1207" spans="1:17" s="222" customFormat="1" x14ac:dyDescent="0.2">
      <c r="A1207" s="259">
        <f>A1205+1</f>
        <v>3</v>
      </c>
      <c r="C1207" s="222" t="s">
        <v>202</v>
      </c>
      <c r="D1207" s="286"/>
      <c r="E1207" s="286">
        <f>B!D252</f>
        <v>0</v>
      </c>
      <c r="F1207" s="286">
        <f>B!E252</f>
        <v>0</v>
      </c>
      <c r="G1207" s="286">
        <f>B!F252</f>
        <v>0</v>
      </c>
      <c r="H1207" s="286">
        <f>B!G252</f>
        <v>0</v>
      </c>
      <c r="I1207" s="286">
        <f>B!H252</f>
        <v>0</v>
      </c>
      <c r="J1207" s="286">
        <f>B!I252</f>
        <v>0</v>
      </c>
      <c r="K1207" s="286">
        <f>B!J252</f>
        <v>0</v>
      </c>
      <c r="L1207" s="286">
        <f>B!K252</f>
        <v>0</v>
      </c>
      <c r="M1207" s="286">
        <f>B!L252</f>
        <v>0</v>
      </c>
      <c r="N1207" s="286">
        <f>B!M252</f>
        <v>0</v>
      </c>
      <c r="O1207" s="286">
        <f>B!N252</f>
        <v>0</v>
      </c>
      <c r="P1207" s="286">
        <f>B!O252</f>
        <v>0</v>
      </c>
      <c r="Q1207" s="286">
        <f>SUM(E1207:P1207)</f>
        <v>0</v>
      </c>
    </row>
    <row r="1208" spans="1:17" s="222" customFormat="1" x14ac:dyDescent="0.2">
      <c r="A1208" s="259">
        <f>A1207+1</f>
        <v>4</v>
      </c>
      <c r="C1208" s="222" t="s">
        <v>210</v>
      </c>
      <c r="D1208" s="781">
        <f>Input!U53</f>
        <v>2007</v>
      </c>
      <c r="E1208" s="427">
        <f t="shared" ref="E1208:P1208" si="357">ROUND(E1207*$D$1208,2)</f>
        <v>0</v>
      </c>
      <c r="F1208" s="427">
        <f t="shared" si="357"/>
        <v>0</v>
      </c>
      <c r="G1208" s="427">
        <f t="shared" si="357"/>
        <v>0</v>
      </c>
      <c r="H1208" s="427">
        <f t="shared" si="357"/>
        <v>0</v>
      </c>
      <c r="I1208" s="427">
        <f t="shared" si="357"/>
        <v>0</v>
      </c>
      <c r="J1208" s="427">
        <f t="shared" si="357"/>
        <v>0</v>
      </c>
      <c r="K1208" s="427">
        <f t="shared" si="357"/>
        <v>0</v>
      </c>
      <c r="L1208" s="427">
        <f t="shared" si="357"/>
        <v>0</v>
      </c>
      <c r="M1208" s="427">
        <f t="shared" si="357"/>
        <v>0</v>
      </c>
      <c r="N1208" s="427">
        <f t="shared" si="357"/>
        <v>0</v>
      </c>
      <c r="O1208" s="427">
        <f t="shared" si="357"/>
        <v>0</v>
      </c>
      <c r="P1208" s="427">
        <f t="shared" si="357"/>
        <v>0</v>
      </c>
      <c r="Q1208" s="427">
        <f>SUM(E1208:P1208)</f>
        <v>0</v>
      </c>
    </row>
    <row r="1209" spans="1:17" s="222" customFormat="1" x14ac:dyDescent="0.2">
      <c r="A1209" s="259">
        <f>A1208+1</f>
        <v>5</v>
      </c>
      <c r="C1209" s="222" t="s">
        <v>217</v>
      </c>
      <c r="D1209" s="781">
        <f>Input!V53</f>
        <v>0</v>
      </c>
      <c r="E1209" s="427">
        <f t="shared" ref="E1209:P1209" si="358">ROUND(E1207*$D$1209,2)</f>
        <v>0</v>
      </c>
      <c r="F1209" s="427">
        <f t="shared" si="358"/>
        <v>0</v>
      </c>
      <c r="G1209" s="427">
        <f t="shared" si="358"/>
        <v>0</v>
      </c>
      <c r="H1209" s="427">
        <f t="shared" si="358"/>
        <v>0</v>
      </c>
      <c r="I1209" s="427">
        <f t="shared" si="358"/>
        <v>0</v>
      </c>
      <c r="J1209" s="427">
        <f t="shared" si="358"/>
        <v>0</v>
      </c>
      <c r="K1209" s="427">
        <f t="shared" si="358"/>
        <v>0</v>
      </c>
      <c r="L1209" s="427">
        <f t="shared" si="358"/>
        <v>0</v>
      </c>
      <c r="M1209" s="427">
        <f t="shared" si="358"/>
        <v>0</v>
      </c>
      <c r="N1209" s="427">
        <f t="shared" si="358"/>
        <v>0</v>
      </c>
      <c r="O1209" s="427">
        <f t="shared" si="358"/>
        <v>0</v>
      </c>
      <c r="P1209" s="427">
        <f t="shared" si="358"/>
        <v>0</v>
      </c>
      <c r="Q1209" s="427">
        <f>SUM(E1209:P1209)</f>
        <v>0</v>
      </c>
    </row>
    <row r="1210" spans="1:17" s="222" customFormat="1" x14ac:dyDescent="0.2">
      <c r="A1210" s="259">
        <f>A1209+1</f>
        <v>6</v>
      </c>
      <c r="C1210" s="222" t="s">
        <v>211</v>
      </c>
      <c r="D1210" s="781">
        <f>Input!W53</f>
        <v>0</v>
      </c>
      <c r="E1210" s="427">
        <f t="shared" ref="E1210:P1210" si="359">ROUND(E1207*$D$1210,2)</f>
        <v>0</v>
      </c>
      <c r="F1210" s="427">
        <f t="shared" si="359"/>
        <v>0</v>
      </c>
      <c r="G1210" s="427">
        <f t="shared" si="359"/>
        <v>0</v>
      </c>
      <c r="H1210" s="427">
        <f t="shared" si="359"/>
        <v>0</v>
      </c>
      <c r="I1210" s="427">
        <f t="shared" si="359"/>
        <v>0</v>
      </c>
      <c r="J1210" s="427">
        <f t="shared" si="359"/>
        <v>0</v>
      </c>
      <c r="K1210" s="427">
        <f t="shared" si="359"/>
        <v>0</v>
      </c>
      <c r="L1210" s="427">
        <f t="shared" si="359"/>
        <v>0</v>
      </c>
      <c r="M1210" s="427">
        <f t="shared" si="359"/>
        <v>0</v>
      </c>
      <c r="N1210" s="427">
        <f t="shared" si="359"/>
        <v>0</v>
      </c>
      <c r="O1210" s="427">
        <f t="shared" si="359"/>
        <v>0</v>
      </c>
      <c r="P1210" s="427">
        <f t="shared" si="359"/>
        <v>0</v>
      </c>
      <c r="Q1210" s="427">
        <f>SUM(E1210:P1210)</f>
        <v>0</v>
      </c>
    </row>
    <row r="1211" spans="1:17" s="222" customFormat="1" x14ac:dyDescent="0.2">
      <c r="A1211" s="259"/>
      <c r="D1211" s="286"/>
      <c r="F1211" s="288"/>
      <c r="G1211" s="469"/>
      <c r="H1211" s="288"/>
      <c r="I1211" s="293"/>
      <c r="J1211" s="288"/>
      <c r="K1211" s="288"/>
      <c r="L1211" s="288"/>
      <c r="M1211" s="288"/>
      <c r="N1211" s="288"/>
      <c r="O1211" s="288"/>
      <c r="P1211" s="288"/>
    </row>
    <row r="1212" spans="1:17" s="222" customFormat="1" x14ac:dyDescent="0.2">
      <c r="A1212" s="259">
        <f>A1210+1</f>
        <v>7</v>
      </c>
      <c r="C1212" s="222" t="s">
        <v>209</v>
      </c>
      <c r="D1212" s="286"/>
      <c r="E1212" s="514"/>
      <c r="F1212" s="288"/>
      <c r="G1212" s="469"/>
      <c r="H1212" s="288"/>
      <c r="I1212" s="293"/>
      <c r="J1212" s="288"/>
      <c r="K1212" s="288"/>
      <c r="L1212" s="288"/>
      <c r="M1212" s="288"/>
      <c r="N1212" s="288"/>
      <c r="O1212" s="288"/>
      <c r="P1212" s="288"/>
    </row>
    <row r="1213" spans="1:17" s="222" customFormat="1" x14ac:dyDescent="0.2">
      <c r="A1213" s="259">
        <f>A1212+1</f>
        <v>8</v>
      </c>
      <c r="C1213" s="222" t="str">
        <f>'C'!B378</f>
        <v xml:space="preserve">    First 30,000 Mcf</v>
      </c>
      <c r="D1213" s="286"/>
      <c r="E1213" s="293">
        <f>'C'!D388</f>
        <v>0</v>
      </c>
      <c r="F1213" s="293">
        <f>'C'!E388</f>
        <v>0</v>
      </c>
      <c r="G1213" s="293">
        <f>'C'!F388</f>
        <v>0</v>
      </c>
      <c r="H1213" s="293">
        <f>'C'!G388</f>
        <v>0</v>
      </c>
      <c r="I1213" s="293">
        <f>'C'!H388</f>
        <v>0</v>
      </c>
      <c r="J1213" s="293">
        <f>'C'!I388</f>
        <v>0</v>
      </c>
      <c r="K1213" s="293">
        <f>'C'!J388</f>
        <v>0</v>
      </c>
      <c r="L1213" s="293">
        <f>'C'!K388</f>
        <v>0</v>
      </c>
      <c r="M1213" s="293">
        <f>'C'!L388</f>
        <v>0</v>
      </c>
      <c r="N1213" s="293">
        <f>'C'!M388</f>
        <v>0</v>
      </c>
      <c r="O1213" s="293">
        <f>'C'!N388</f>
        <v>0</v>
      </c>
      <c r="P1213" s="293">
        <f>'C'!O388</f>
        <v>0</v>
      </c>
      <c r="Q1213" s="293">
        <f>SUM(E1213:P1213)</f>
        <v>0</v>
      </c>
    </row>
    <row r="1214" spans="1:17" s="222" customFormat="1" x14ac:dyDescent="0.2">
      <c r="A1214" s="259">
        <f>A1213+1</f>
        <v>9</v>
      </c>
      <c r="C1214" s="222" t="str">
        <f>'C'!B380</f>
        <v xml:space="preserve">    Over 100,000 Mcf</v>
      </c>
      <c r="D1214" s="286"/>
      <c r="E1214" s="515">
        <f>'C'!D390</f>
        <v>0</v>
      </c>
      <c r="F1214" s="515">
        <f>'C'!E390</f>
        <v>0</v>
      </c>
      <c r="G1214" s="515">
        <f>'C'!F390</f>
        <v>0</v>
      </c>
      <c r="H1214" s="515">
        <f>'C'!G390</f>
        <v>0</v>
      </c>
      <c r="I1214" s="515">
        <f>'C'!H390</f>
        <v>0</v>
      </c>
      <c r="J1214" s="515">
        <f>'C'!I390</f>
        <v>0</v>
      </c>
      <c r="K1214" s="515">
        <f>'C'!J390</f>
        <v>0</v>
      </c>
      <c r="L1214" s="515">
        <f>'C'!K390</f>
        <v>0</v>
      </c>
      <c r="M1214" s="515">
        <f>'C'!L390</f>
        <v>0</v>
      </c>
      <c r="N1214" s="515">
        <f>'C'!M390</f>
        <v>0</v>
      </c>
      <c r="O1214" s="515">
        <f>'C'!N390</f>
        <v>0</v>
      </c>
      <c r="P1214" s="515">
        <f>'C'!O390</f>
        <v>0</v>
      </c>
      <c r="Q1214" s="515">
        <f>SUM(E1214:P1214)</f>
        <v>0</v>
      </c>
    </row>
    <row r="1215" spans="1:17" s="222" customFormat="1" x14ac:dyDescent="0.2">
      <c r="A1215" s="259"/>
      <c r="D1215" s="286"/>
      <c r="E1215" s="293">
        <f t="shared" ref="E1215:P1215" si="360">SUM(E1213:E1214)</f>
        <v>0</v>
      </c>
      <c r="F1215" s="293">
        <f t="shared" si="360"/>
        <v>0</v>
      </c>
      <c r="G1215" s="293">
        <f t="shared" si="360"/>
        <v>0</v>
      </c>
      <c r="H1215" s="293">
        <f t="shared" si="360"/>
        <v>0</v>
      </c>
      <c r="I1215" s="293">
        <f t="shared" si="360"/>
        <v>0</v>
      </c>
      <c r="J1215" s="293">
        <f t="shared" si="360"/>
        <v>0</v>
      </c>
      <c r="K1215" s="293">
        <f t="shared" si="360"/>
        <v>0</v>
      </c>
      <c r="L1215" s="293">
        <f t="shared" si="360"/>
        <v>0</v>
      </c>
      <c r="M1215" s="293">
        <f t="shared" si="360"/>
        <v>0</v>
      </c>
      <c r="N1215" s="293">
        <f t="shared" si="360"/>
        <v>0</v>
      </c>
      <c r="O1215" s="293">
        <f t="shared" si="360"/>
        <v>0</v>
      </c>
      <c r="P1215" s="293">
        <f t="shared" si="360"/>
        <v>0</v>
      </c>
      <c r="Q1215" s="293">
        <f>SUM(E1215:P1215)</f>
        <v>0</v>
      </c>
    </row>
    <row r="1216" spans="1:17" s="222" customFormat="1" x14ac:dyDescent="0.2">
      <c r="A1216" s="259">
        <f>A1214+1</f>
        <v>10</v>
      </c>
      <c r="C1216" s="286" t="s">
        <v>207</v>
      </c>
      <c r="D1216" s="286"/>
      <c r="E1216" s="295"/>
      <c r="F1216" s="535"/>
      <c r="G1216" s="536"/>
      <c r="H1216" s="535"/>
      <c r="I1216" s="515"/>
      <c r="J1216" s="537"/>
      <c r="K1216" s="535"/>
      <c r="L1216" s="535"/>
      <c r="M1216" s="535"/>
      <c r="N1216" s="535"/>
      <c r="O1216" s="535"/>
      <c r="P1216" s="535"/>
      <c r="Q1216" s="469"/>
    </row>
    <row r="1217" spans="1:17" s="222" customFormat="1" x14ac:dyDescent="0.2">
      <c r="A1217" s="259">
        <f>A1216+1</f>
        <v>11</v>
      </c>
      <c r="C1217" s="286" t="str">
        <f>C1213</f>
        <v xml:space="preserve">    First 30,000 Mcf</v>
      </c>
      <c r="D1217" s="782">
        <f>Input!P53</f>
        <v>0.6321</v>
      </c>
      <c r="E1217" s="427">
        <f t="shared" ref="E1217:P1217" si="361">ROUND(E1213*$D$1217,2)</f>
        <v>0</v>
      </c>
      <c r="F1217" s="427">
        <f t="shared" si="361"/>
        <v>0</v>
      </c>
      <c r="G1217" s="427">
        <f t="shared" si="361"/>
        <v>0</v>
      </c>
      <c r="H1217" s="427">
        <f t="shared" si="361"/>
        <v>0</v>
      </c>
      <c r="I1217" s="427">
        <f t="shared" si="361"/>
        <v>0</v>
      </c>
      <c r="J1217" s="427">
        <f t="shared" si="361"/>
        <v>0</v>
      </c>
      <c r="K1217" s="427">
        <f t="shared" si="361"/>
        <v>0</v>
      </c>
      <c r="L1217" s="427">
        <f t="shared" si="361"/>
        <v>0</v>
      </c>
      <c r="M1217" s="427">
        <f t="shared" si="361"/>
        <v>0</v>
      </c>
      <c r="N1217" s="427">
        <f t="shared" si="361"/>
        <v>0</v>
      </c>
      <c r="O1217" s="427">
        <f t="shared" si="361"/>
        <v>0</v>
      </c>
      <c r="P1217" s="427">
        <f t="shared" si="361"/>
        <v>0</v>
      </c>
      <c r="Q1217" s="427">
        <f>SUM(E1217:P1217)</f>
        <v>0</v>
      </c>
    </row>
    <row r="1218" spans="1:17" s="222" customFormat="1" x14ac:dyDescent="0.2">
      <c r="A1218" s="259">
        <f>A1217+1</f>
        <v>12</v>
      </c>
      <c r="C1218" s="286" t="str">
        <f>C1214</f>
        <v xml:space="preserve">    Over 100,000 Mcf</v>
      </c>
      <c r="D1218" s="782">
        <f>Input!Q53</f>
        <v>0.37730000000000002</v>
      </c>
      <c r="E1218" s="535">
        <f t="shared" ref="E1218:P1218" si="362">ROUND(E1214*$D$1218,2)</f>
        <v>0</v>
      </c>
      <c r="F1218" s="535">
        <f t="shared" si="362"/>
        <v>0</v>
      </c>
      <c r="G1218" s="535">
        <f t="shared" si="362"/>
        <v>0</v>
      </c>
      <c r="H1218" s="535">
        <f t="shared" si="362"/>
        <v>0</v>
      </c>
      <c r="I1218" s="535">
        <f t="shared" si="362"/>
        <v>0</v>
      </c>
      <c r="J1218" s="535">
        <f t="shared" si="362"/>
        <v>0</v>
      </c>
      <c r="K1218" s="535">
        <f t="shared" si="362"/>
        <v>0</v>
      </c>
      <c r="L1218" s="535">
        <f t="shared" si="362"/>
        <v>0</v>
      </c>
      <c r="M1218" s="535">
        <f t="shared" si="362"/>
        <v>0</v>
      </c>
      <c r="N1218" s="535">
        <f t="shared" si="362"/>
        <v>0</v>
      </c>
      <c r="O1218" s="535">
        <f t="shared" si="362"/>
        <v>0</v>
      </c>
      <c r="P1218" s="535">
        <f t="shared" si="362"/>
        <v>0</v>
      </c>
      <c r="Q1218" s="535">
        <f>SUM(E1218:P1218)</f>
        <v>0</v>
      </c>
    </row>
    <row r="1219" spans="1:17" s="222" customFormat="1" x14ac:dyDescent="0.2">
      <c r="A1219" s="259"/>
      <c r="C1219" s="286"/>
      <c r="D1219" s="286"/>
      <c r="E1219" s="427">
        <f t="shared" ref="E1219:P1219" si="363">SUM(E1217:E1218)</f>
        <v>0</v>
      </c>
      <c r="F1219" s="427">
        <f t="shared" si="363"/>
        <v>0</v>
      </c>
      <c r="G1219" s="427">
        <f t="shared" si="363"/>
        <v>0</v>
      </c>
      <c r="H1219" s="427">
        <f t="shared" si="363"/>
        <v>0</v>
      </c>
      <c r="I1219" s="427">
        <f t="shared" si="363"/>
        <v>0</v>
      </c>
      <c r="J1219" s="427">
        <f t="shared" si="363"/>
        <v>0</v>
      </c>
      <c r="K1219" s="427">
        <f t="shared" si="363"/>
        <v>0</v>
      </c>
      <c r="L1219" s="427">
        <f t="shared" si="363"/>
        <v>0</v>
      </c>
      <c r="M1219" s="427">
        <f t="shared" si="363"/>
        <v>0</v>
      </c>
      <c r="N1219" s="427">
        <f t="shared" si="363"/>
        <v>0</v>
      </c>
      <c r="O1219" s="427">
        <f t="shared" si="363"/>
        <v>0</v>
      </c>
      <c r="P1219" s="427">
        <f t="shared" si="363"/>
        <v>0</v>
      </c>
      <c r="Q1219" s="427">
        <f>SUM(E1219:P1219)</f>
        <v>0</v>
      </c>
    </row>
    <row r="1220" spans="1:17" s="222" customFormat="1" x14ac:dyDescent="0.2">
      <c r="A1220" s="259"/>
      <c r="C1220" s="286"/>
      <c r="D1220" s="286"/>
      <c r="E1220" s="295"/>
      <c r="F1220" s="535"/>
      <c r="G1220" s="536"/>
      <c r="H1220" s="535"/>
      <c r="I1220" s="515"/>
      <c r="J1220" s="537"/>
      <c r="K1220" s="535"/>
      <c r="L1220" s="535"/>
      <c r="M1220" s="535"/>
      <c r="N1220" s="535"/>
      <c r="O1220" s="535"/>
      <c r="P1220" s="535"/>
      <c r="Q1220" s="469"/>
    </row>
    <row r="1221" spans="1:17" s="222" customFormat="1" x14ac:dyDescent="0.2">
      <c r="A1221" s="259">
        <f>A1218+1</f>
        <v>13</v>
      </c>
      <c r="C1221" s="286" t="s">
        <v>204</v>
      </c>
      <c r="D1221" s="286"/>
      <c r="E1221" s="427">
        <f t="shared" ref="E1221:P1221" si="364">E1208+E1209+E1210+E1219</f>
        <v>0</v>
      </c>
      <c r="F1221" s="427">
        <f t="shared" si="364"/>
        <v>0</v>
      </c>
      <c r="G1221" s="427">
        <f t="shared" si="364"/>
        <v>0</v>
      </c>
      <c r="H1221" s="427">
        <f t="shared" si="364"/>
        <v>0</v>
      </c>
      <c r="I1221" s="427">
        <f t="shared" si="364"/>
        <v>0</v>
      </c>
      <c r="J1221" s="427">
        <f t="shared" si="364"/>
        <v>0</v>
      </c>
      <c r="K1221" s="427">
        <f t="shared" si="364"/>
        <v>0</v>
      </c>
      <c r="L1221" s="427">
        <f t="shared" si="364"/>
        <v>0</v>
      </c>
      <c r="M1221" s="427">
        <f t="shared" si="364"/>
        <v>0</v>
      </c>
      <c r="N1221" s="427">
        <f t="shared" si="364"/>
        <v>0</v>
      </c>
      <c r="O1221" s="427">
        <f t="shared" si="364"/>
        <v>0</v>
      </c>
      <c r="P1221" s="427">
        <f t="shared" si="364"/>
        <v>0</v>
      </c>
      <c r="Q1221" s="427">
        <f>SUM(E1221:P1221)</f>
        <v>0</v>
      </c>
    </row>
    <row r="1222" spans="1:17" s="222" customFormat="1" x14ac:dyDescent="0.2">
      <c r="A1222" s="259"/>
      <c r="C1222" s="286"/>
      <c r="D1222" s="286"/>
      <c r="E1222" s="295"/>
      <c r="F1222" s="535"/>
      <c r="G1222" s="536"/>
      <c r="H1222" s="535"/>
      <c r="I1222" s="515"/>
      <c r="J1222" s="537"/>
      <c r="K1222" s="535"/>
      <c r="L1222" s="535"/>
      <c r="M1222" s="535"/>
      <c r="N1222" s="535"/>
      <c r="O1222" s="535"/>
      <c r="P1222" s="535"/>
      <c r="Q1222" s="469"/>
    </row>
    <row r="1223" spans="1:17" s="222" customFormat="1" x14ac:dyDescent="0.2">
      <c r="A1223" s="259">
        <f>A1221+1</f>
        <v>14</v>
      </c>
      <c r="C1223" s="222" t="s">
        <v>151</v>
      </c>
      <c r="D1223" s="782">
        <v>0</v>
      </c>
      <c r="E1223" s="510">
        <v>0</v>
      </c>
      <c r="F1223" s="510">
        <v>0</v>
      </c>
      <c r="G1223" s="510">
        <v>0</v>
      </c>
      <c r="H1223" s="510">
        <v>0</v>
      </c>
      <c r="I1223" s="510">
        <v>0</v>
      </c>
      <c r="J1223" s="510">
        <v>0</v>
      </c>
      <c r="K1223" s="510">
        <v>0</v>
      </c>
      <c r="L1223" s="510">
        <v>0</v>
      </c>
      <c r="M1223" s="510">
        <v>0</v>
      </c>
      <c r="N1223" s="510">
        <v>0</v>
      </c>
      <c r="O1223" s="510">
        <v>0</v>
      </c>
      <c r="P1223" s="510">
        <v>0</v>
      </c>
      <c r="Q1223" s="427">
        <f>SUM(E1223:P1223)</f>
        <v>0</v>
      </c>
    </row>
    <row r="1224" spans="1:17" s="222" customFormat="1" x14ac:dyDescent="0.2">
      <c r="A1224" s="259"/>
      <c r="D1224" s="286"/>
      <c r="F1224" s="288"/>
      <c r="G1224" s="469"/>
      <c r="H1224" s="288"/>
      <c r="I1224" s="293"/>
      <c r="J1224" s="288"/>
      <c r="K1224" s="288"/>
      <c r="L1224" s="288"/>
      <c r="M1224" s="288"/>
      <c r="N1224" s="288"/>
      <c r="O1224" s="288"/>
      <c r="P1224" s="288"/>
    </row>
    <row r="1225" spans="1:17" s="222" customFormat="1" ht="10.8" thickBot="1" x14ac:dyDescent="0.25">
      <c r="A1225" s="717">
        <f>A1223+1</f>
        <v>15</v>
      </c>
      <c r="B1225" s="489"/>
      <c r="C1225" s="718" t="s">
        <v>205</v>
      </c>
      <c r="D1225" s="719"/>
      <c r="E1225" s="492">
        <f t="shared" ref="E1225:P1225" si="365">E1221+E1223</f>
        <v>0</v>
      </c>
      <c r="F1225" s="492">
        <f t="shared" si="365"/>
        <v>0</v>
      </c>
      <c r="G1225" s="492">
        <f t="shared" si="365"/>
        <v>0</v>
      </c>
      <c r="H1225" s="492">
        <f t="shared" si="365"/>
        <v>0</v>
      </c>
      <c r="I1225" s="492">
        <f t="shared" si="365"/>
        <v>0</v>
      </c>
      <c r="J1225" s="492">
        <f t="shared" si="365"/>
        <v>0</v>
      </c>
      <c r="K1225" s="492">
        <f t="shared" si="365"/>
        <v>0</v>
      </c>
      <c r="L1225" s="492">
        <f t="shared" si="365"/>
        <v>0</v>
      </c>
      <c r="M1225" s="492">
        <f t="shared" si="365"/>
        <v>0</v>
      </c>
      <c r="N1225" s="492">
        <f t="shared" si="365"/>
        <v>0</v>
      </c>
      <c r="O1225" s="492">
        <f t="shared" si="365"/>
        <v>0</v>
      </c>
      <c r="P1225" s="492">
        <f t="shared" si="365"/>
        <v>0</v>
      </c>
      <c r="Q1225" s="492">
        <f>SUM(E1225:P1225)</f>
        <v>0</v>
      </c>
    </row>
    <row r="1226" spans="1:17" s="222" customFormat="1" ht="10.8" thickTop="1" x14ac:dyDescent="0.2">
      <c r="A1226" s="259"/>
      <c r="D1226" s="286"/>
      <c r="F1226" s="288"/>
      <c r="G1226" s="469"/>
      <c r="H1226" s="288"/>
      <c r="I1226" s="293"/>
      <c r="J1226" s="288"/>
      <c r="K1226" s="288"/>
      <c r="L1226" s="288"/>
      <c r="M1226" s="288"/>
      <c r="N1226" s="288"/>
      <c r="O1226" s="288"/>
      <c r="P1226" s="288"/>
    </row>
    <row r="1227" spans="1:17" s="222" customFormat="1" x14ac:dyDescent="0.2">
      <c r="A1227" s="259"/>
      <c r="D1227" s="286"/>
      <c r="E1227" s="230"/>
      <c r="F1227" s="727"/>
      <c r="G1227" s="723"/>
      <c r="H1227" s="727"/>
      <c r="I1227" s="724"/>
      <c r="J1227" s="727"/>
      <c r="K1227" s="727"/>
      <c r="L1227" s="727"/>
      <c r="M1227" s="727"/>
      <c r="N1227" s="727"/>
      <c r="O1227" s="727"/>
      <c r="P1227" s="727"/>
      <c r="Q1227" s="230"/>
    </row>
    <row r="1228" spans="1:17" s="222" customFormat="1" x14ac:dyDescent="0.2">
      <c r="A1228" s="259">
        <f>A1225+1</f>
        <v>16</v>
      </c>
      <c r="B1228" s="222" t="str">
        <f>B354</f>
        <v>SC3</v>
      </c>
      <c r="C1228" s="222" t="str">
        <f>C354</f>
        <v>GTS Special Rate - Industrial</v>
      </c>
      <c r="D1228" s="286"/>
      <c r="F1228" s="288"/>
      <c r="G1228" s="469"/>
      <c r="H1228" s="288"/>
      <c r="I1228" s="293"/>
      <c r="J1228" s="288"/>
      <c r="K1228" s="288"/>
      <c r="L1228" s="288"/>
      <c r="M1228" s="288"/>
      <c r="N1228" s="288"/>
      <c r="O1228" s="288"/>
      <c r="P1228" s="288"/>
    </row>
    <row r="1229" spans="1:17" s="222" customFormat="1" x14ac:dyDescent="0.2">
      <c r="A1229" s="259"/>
      <c r="D1229" s="286"/>
      <c r="F1229" s="288"/>
      <c r="G1229" s="469"/>
      <c r="H1229" s="288"/>
      <c r="I1229" s="293"/>
      <c r="J1229" s="288"/>
      <c r="K1229" s="288"/>
      <c r="L1229" s="288"/>
      <c r="M1229" s="288"/>
      <c r="N1229" s="288"/>
      <c r="O1229" s="288"/>
      <c r="P1229" s="288"/>
    </row>
    <row r="1230" spans="1:17" s="222" customFormat="1" x14ac:dyDescent="0.2">
      <c r="A1230" s="259">
        <f>A1228+1</f>
        <v>17</v>
      </c>
      <c r="C1230" s="262" t="s">
        <v>112</v>
      </c>
      <c r="D1230" s="286"/>
      <c r="F1230" s="288"/>
      <c r="G1230" s="469"/>
      <c r="H1230" s="288"/>
      <c r="I1230" s="293"/>
      <c r="J1230" s="288"/>
      <c r="K1230" s="288"/>
      <c r="L1230" s="288"/>
      <c r="M1230" s="288"/>
      <c r="N1230" s="288"/>
      <c r="O1230" s="288"/>
      <c r="P1230" s="288"/>
    </row>
    <row r="1231" spans="1:17" s="222" customFormat="1" x14ac:dyDescent="0.2">
      <c r="A1231" s="259"/>
      <c r="C1231" s="262"/>
      <c r="D1231" s="286"/>
      <c r="F1231" s="288"/>
      <c r="G1231" s="469"/>
      <c r="H1231" s="288"/>
      <c r="I1231" s="293"/>
      <c r="J1231" s="288"/>
      <c r="K1231" s="288"/>
      <c r="L1231" s="288"/>
      <c r="M1231" s="288"/>
      <c r="N1231" s="288"/>
      <c r="O1231" s="288"/>
      <c r="P1231" s="288"/>
    </row>
    <row r="1232" spans="1:17" s="222" customFormat="1" x14ac:dyDescent="0.2">
      <c r="A1232" s="259">
        <f>A1230+1</f>
        <v>18</v>
      </c>
      <c r="C1232" s="222" t="s">
        <v>202</v>
      </c>
      <c r="D1232" s="286"/>
      <c r="E1232" s="472">
        <f>B!D271</f>
        <v>1</v>
      </c>
      <c r="F1232" s="472">
        <f>B!E271</f>
        <v>1</v>
      </c>
      <c r="G1232" s="472">
        <f>B!F271</f>
        <v>1</v>
      </c>
      <c r="H1232" s="472">
        <f>B!G271</f>
        <v>1</v>
      </c>
      <c r="I1232" s="472">
        <f>B!H271</f>
        <v>1</v>
      </c>
      <c r="J1232" s="472">
        <f>B!I271</f>
        <v>1</v>
      </c>
      <c r="K1232" s="472">
        <f>B!J271</f>
        <v>1</v>
      </c>
      <c r="L1232" s="472">
        <f>B!K271</f>
        <v>1</v>
      </c>
      <c r="M1232" s="472">
        <f>B!L271</f>
        <v>1</v>
      </c>
      <c r="N1232" s="472">
        <f>B!M271</f>
        <v>1</v>
      </c>
      <c r="O1232" s="472">
        <f>B!N271</f>
        <v>1</v>
      </c>
      <c r="P1232" s="472">
        <f>B!O271</f>
        <v>1</v>
      </c>
      <c r="Q1232" s="472">
        <f>SUM(E1232:P1232)</f>
        <v>12</v>
      </c>
    </row>
    <row r="1233" spans="1:17" s="222" customFormat="1" x14ac:dyDescent="0.2">
      <c r="A1233" s="259">
        <f>A1232+1</f>
        <v>19</v>
      </c>
      <c r="C1233" s="222" t="s">
        <v>210</v>
      </c>
      <c r="D1233" s="781">
        <f>Input!U54</f>
        <v>1062.95</v>
      </c>
      <c r="E1233" s="427">
        <f t="shared" ref="E1233:P1233" si="366">ROUND(E1232*$D$1233,2)</f>
        <v>1062.95</v>
      </c>
      <c r="F1233" s="427">
        <f t="shared" si="366"/>
        <v>1062.95</v>
      </c>
      <c r="G1233" s="427">
        <f t="shared" si="366"/>
        <v>1062.95</v>
      </c>
      <c r="H1233" s="427">
        <f t="shared" si="366"/>
        <v>1062.95</v>
      </c>
      <c r="I1233" s="427">
        <f t="shared" si="366"/>
        <v>1062.95</v>
      </c>
      <c r="J1233" s="427">
        <f t="shared" si="366"/>
        <v>1062.95</v>
      </c>
      <c r="K1233" s="427">
        <f t="shared" si="366"/>
        <v>1062.95</v>
      </c>
      <c r="L1233" s="427">
        <f t="shared" si="366"/>
        <v>1062.95</v>
      </c>
      <c r="M1233" s="427">
        <f t="shared" si="366"/>
        <v>1062.95</v>
      </c>
      <c r="N1233" s="427">
        <f t="shared" si="366"/>
        <v>1062.95</v>
      </c>
      <c r="O1233" s="427">
        <f t="shared" si="366"/>
        <v>1062.95</v>
      </c>
      <c r="P1233" s="427">
        <f t="shared" si="366"/>
        <v>1062.95</v>
      </c>
      <c r="Q1233" s="427">
        <f>SUM(E1233:P1233)</f>
        <v>12755.400000000003</v>
      </c>
    </row>
    <row r="1234" spans="1:17" s="222" customFormat="1" x14ac:dyDescent="0.2">
      <c r="A1234" s="259">
        <f>A1233+1</f>
        <v>20</v>
      </c>
      <c r="C1234" s="222" t="s">
        <v>217</v>
      </c>
      <c r="D1234" s="781">
        <f>Input!V54</f>
        <v>0</v>
      </c>
      <c r="E1234" s="427">
        <f t="shared" ref="E1234:P1234" si="367">ROUND(E1232*$D$1234,2)</f>
        <v>0</v>
      </c>
      <c r="F1234" s="427">
        <f t="shared" si="367"/>
        <v>0</v>
      </c>
      <c r="G1234" s="427">
        <f t="shared" si="367"/>
        <v>0</v>
      </c>
      <c r="H1234" s="427">
        <f t="shared" si="367"/>
        <v>0</v>
      </c>
      <c r="I1234" s="427">
        <f t="shared" si="367"/>
        <v>0</v>
      </c>
      <c r="J1234" s="427">
        <f t="shared" si="367"/>
        <v>0</v>
      </c>
      <c r="K1234" s="427">
        <f t="shared" si="367"/>
        <v>0</v>
      </c>
      <c r="L1234" s="427">
        <f t="shared" si="367"/>
        <v>0</v>
      </c>
      <c r="M1234" s="427">
        <f t="shared" si="367"/>
        <v>0</v>
      </c>
      <c r="N1234" s="427">
        <f t="shared" si="367"/>
        <v>0</v>
      </c>
      <c r="O1234" s="427">
        <f t="shared" si="367"/>
        <v>0</v>
      </c>
      <c r="P1234" s="427">
        <f t="shared" si="367"/>
        <v>0</v>
      </c>
      <c r="Q1234" s="427">
        <f>SUM(E1234:P1234)</f>
        <v>0</v>
      </c>
    </row>
    <row r="1235" spans="1:17" s="222" customFormat="1" x14ac:dyDescent="0.2">
      <c r="A1235" s="259"/>
      <c r="D1235" s="286"/>
      <c r="F1235" s="288"/>
      <c r="G1235" s="469"/>
      <c r="H1235" s="288"/>
      <c r="I1235" s="293"/>
      <c r="J1235" s="288"/>
      <c r="K1235" s="288"/>
      <c r="L1235" s="288"/>
      <c r="M1235" s="288"/>
      <c r="N1235" s="288"/>
      <c r="O1235" s="288"/>
      <c r="P1235" s="288"/>
    </row>
    <row r="1236" spans="1:17" s="222" customFormat="1" x14ac:dyDescent="0.2">
      <c r="A1236" s="259">
        <f>A1234+1</f>
        <v>21</v>
      </c>
      <c r="C1236" s="222" t="s">
        <v>209</v>
      </c>
      <c r="D1236" s="286"/>
      <c r="F1236" s="288"/>
      <c r="G1236" s="469"/>
      <c r="H1236" s="288"/>
      <c r="I1236" s="293"/>
      <c r="J1236" s="288"/>
      <c r="K1236" s="288"/>
      <c r="L1236" s="288"/>
      <c r="M1236" s="288"/>
      <c r="N1236" s="288"/>
      <c r="O1236" s="288"/>
      <c r="P1236" s="288"/>
    </row>
    <row r="1237" spans="1:17" s="222" customFormat="1" x14ac:dyDescent="0.2">
      <c r="A1237" s="259">
        <f>A1236+1</f>
        <v>22</v>
      </c>
      <c r="C1237" s="286" t="str">
        <f>'C'!B395</f>
        <v xml:space="preserve">    First 150,000 Mcf</v>
      </c>
      <c r="D1237" s="512"/>
      <c r="E1237" s="293">
        <f>'C'!D403</f>
        <v>150000</v>
      </c>
      <c r="F1237" s="293">
        <f>'C'!E403</f>
        <v>150000</v>
      </c>
      <c r="G1237" s="293">
        <f>'C'!F403</f>
        <v>140000</v>
      </c>
      <c r="H1237" s="293">
        <f>'C'!G403</f>
        <v>140000</v>
      </c>
      <c r="I1237" s="293">
        <f>'C'!H403</f>
        <v>130000</v>
      </c>
      <c r="J1237" s="293">
        <f>'C'!I403</f>
        <v>130000</v>
      </c>
      <c r="K1237" s="293">
        <f>'C'!J403</f>
        <v>130000</v>
      </c>
      <c r="L1237" s="293">
        <f>'C'!K403</f>
        <v>130000</v>
      </c>
      <c r="M1237" s="293">
        <f>'C'!L403</f>
        <v>130000</v>
      </c>
      <c r="N1237" s="293">
        <f>'C'!M403</f>
        <v>130000</v>
      </c>
      <c r="O1237" s="293">
        <f>'C'!N403</f>
        <v>140000</v>
      </c>
      <c r="P1237" s="293">
        <f>'C'!O403</f>
        <v>150000</v>
      </c>
      <c r="Q1237" s="293">
        <f>SUM(E1237:P1237)</f>
        <v>1650000</v>
      </c>
    </row>
    <row r="1238" spans="1:17" s="222" customFormat="1" x14ac:dyDescent="0.2">
      <c r="A1238" s="259">
        <f>A1237+1</f>
        <v>23</v>
      </c>
      <c r="C1238" s="286" t="str">
        <f>'C'!B396</f>
        <v xml:space="preserve">    Over 150,000 Mcf</v>
      </c>
      <c r="D1238" s="512"/>
      <c r="E1238" s="515">
        <f>'C'!D404</f>
        <v>15000</v>
      </c>
      <c r="F1238" s="515">
        <f>'C'!E404</f>
        <v>5000</v>
      </c>
      <c r="G1238" s="515">
        <f>'C'!F404</f>
        <v>0</v>
      </c>
      <c r="H1238" s="515">
        <f>'C'!G404</f>
        <v>-12000</v>
      </c>
      <c r="I1238" s="515">
        <f>'C'!H404</f>
        <v>-19000</v>
      </c>
      <c r="J1238" s="515">
        <f>'C'!I404</f>
        <v>-28000</v>
      </c>
      <c r="K1238" s="515">
        <f>'C'!J404</f>
        <v>-28000</v>
      </c>
      <c r="L1238" s="515">
        <f>'C'!K404</f>
        <v>-28000</v>
      </c>
      <c r="M1238" s="515">
        <f>'C'!L404</f>
        <v>-10000</v>
      </c>
      <c r="N1238" s="515">
        <f>'C'!M404</f>
        <v>15000</v>
      </c>
      <c r="O1238" s="515">
        <f>'C'!N404</f>
        <v>10000</v>
      </c>
      <c r="P1238" s="515">
        <f>'C'!O404</f>
        <v>10000</v>
      </c>
      <c r="Q1238" s="515">
        <f>SUM(E1238:P1238)</f>
        <v>-70000</v>
      </c>
    </row>
    <row r="1239" spans="1:17" s="222" customFormat="1" x14ac:dyDescent="0.2">
      <c r="A1239" s="259"/>
      <c r="C1239" s="286"/>
      <c r="D1239" s="512"/>
      <c r="E1239" s="293">
        <f t="shared" ref="E1239:P1239" si="368">SUM(E1237:E1238)</f>
        <v>165000</v>
      </c>
      <c r="F1239" s="293">
        <f t="shared" si="368"/>
        <v>155000</v>
      </c>
      <c r="G1239" s="293">
        <f t="shared" si="368"/>
        <v>140000</v>
      </c>
      <c r="H1239" s="293">
        <f t="shared" si="368"/>
        <v>128000</v>
      </c>
      <c r="I1239" s="293">
        <f t="shared" si="368"/>
        <v>111000</v>
      </c>
      <c r="J1239" s="293">
        <f t="shared" si="368"/>
        <v>102000</v>
      </c>
      <c r="K1239" s="293">
        <f t="shared" si="368"/>
        <v>102000</v>
      </c>
      <c r="L1239" s="293">
        <f t="shared" si="368"/>
        <v>102000</v>
      </c>
      <c r="M1239" s="293">
        <f t="shared" si="368"/>
        <v>120000</v>
      </c>
      <c r="N1239" s="293">
        <f t="shared" si="368"/>
        <v>145000</v>
      </c>
      <c r="O1239" s="293">
        <f t="shared" si="368"/>
        <v>150000</v>
      </c>
      <c r="P1239" s="293">
        <f t="shared" si="368"/>
        <v>160000</v>
      </c>
      <c r="Q1239" s="293">
        <f>SUM(E1239:P1239)</f>
        <v>1580000</v>
      </c>
    </row>
    <row r="1240" spans="1:17" s="222" customFormat="1" x14ac:dyDescent="0.2">
      <c r="A1240" s="259">
        <f>A1238+1</f>
        <v>24</v>
      </c>
      <c r="C1240" s="286" t="s">
        <v>207</v>
      </c>
      <c r="D1240" s="512"/>
      <c r="E1240" s="295"/>
      <c r="F1240" s="535"/>
      <c r="G1240" s="536"/>
      <c r="H1240" s="535"/>
      <c r="I1240" s="515"/>
      <c r="J1240" s="537"/>
      <c r="K1240" s="535"/>
      <c r="L1240" s="535"/>
      <c r="M1240" s="535"/>
      <c r="N1240" s="535"/>
      <c r="O1240" s="535"/>
      <c r="P1240" s="535"/>
      <c r="Q1240" s="469"/>
    </row>
    <row r="1241" spans="1:17" s="222" customFormat="1" x14ac:dyDescent="0.2">
      <c r="A1241" s="259">
        <f>A1240+1</f>
        <v>25</v>
      </c>
      <c r="C1241" s="286" t="str">
        <f>C1237</f>
        <v xml:space="preserve">    First 150,000 Mcf</v>
      </c>
      <c r="D1241" s="782">
        <f>Input!P54</f>
        <v>0.28999999999999998</v>
      </c>
      <c r="E1241" s="427">
        <f t="shared" ref="E1241:P1241" si="369">ROUND(E1237*$D$1241,2)</f>
        <v>43500</v>
      </c>
      <c r="F1241" s="427">
        <f t="shared" si="369"/>
        <v>43500</v>
      </c>
      <c r="G1241" s="427">
        <f t="shared" si="369"/>
        <v>40600</v>
      </c>
      <c r="H1241" s="427">
        <f t="shared" si="369"/>
        <v>40600</v>
      </c>
      <c r="I1241" s="427">
        <f t="shared" si="369"/>
        <v>37700</v>
      </c>
      <c r="J1241" s="427">
        <f t="shared" si="369"/>
        <v>37700</v>
      </c>
      <c r="K1241" s="427">
        <f t="shared" si="369"/>
        <v>37700</v>
      </c>
      <c r="L1241" s="427">
        <f t="shared" si="369"/>
        <v>37700</v>
      </c>
      <c r="M1241" s="427">
        <f t="shared" si="369"/>
        <v>37700</v>
      </c>
      <c r="N1241" s="427">
        <f t="shared" si="369"/>
        <v>37700</v>
      </c>
      <c r="O1241" s="427">
        <f t="shared" si="369"/>
        <v>40600</v>
      </c>
      <c r="P1241" s="427">
        <f t="shared" si="369"/>
        <v>43500</v>
      </c>
      <c r="Q1241" s="427">
        <f>SUM(E1241:P1241)</f>
        <v>478500</v>
      </c>
    </row>
    <row r="1242" spans="1:17" s="222" customFormat="1" x14ac:dyDescent="0.2">
      <c r="A1242" s="259">
        <f>A1241+1</f>
        <v>26</v>
      </c>
      <c r="C1242" s="286" t="str">
        <f>C1238</f>
        <v xml:space="preserve">    Over 150,000 Mcf</v>
      </c>
      <c r="D1242" s="782">
        <f>Input!Q54</f>
        <v>0.16</v>
      </c>
      <c r="E1242" s="273">
        <f t="shared" ref="E1242:P1242" si="370">ROUND(E1238*$D$1242,2)</f>
        <v>2400</v>
      </c>
      <c r="F1242" s="273">
        <f t="shared" si="370"/>
        <v>800</v>
      </c>
      <c r="G1242" s="273">
        <f t="shared" si="370"/>
        <v>0</v>
      </c>
      <c r="H1242" s="273">
        <f t="shared" si="370"/>
        <v>-1920</v>
      </c>
      <c r="I1242" s="273">
        <f t="shared" si="370"/>
        <v>-3040</v>
      </c>
      <c r="J1242" s="273">
        <f t="shared" si="370"/>
        <v>-4480</v>
      </c>
      <c r="K1242" s="273">
        <f t="shared" si="370"/>
        <v>-4480</v>
      </c>
      <c r="L1242" s="273">
        <f t="shared" si="370"/>
        <v>-4480</v>
      </c>
      <c r="M1242" s="273">
        <f t="shared" si="370"/>
        <v>-1600</v>
      </c>
      <c r="N1242" s="273">
        <f t="shared" si="370"/>
        <v>2400</v>
      </c>
      <c r="O1242" s="273">
        <f t="shared" si="370"/>
        <v>1600</v>
      </c>
      <c r="P1242" s="273">
        <f t="shared" si="370"/>
        <v>1600</v>
      </c>
      <c r="Q1242" s="273">
        <f>SUM(E1242:P1242)</f>
        <v>-11200</v>
      </c>
    </row>
    <row r="1243" spans="1:17" s="222" customFormat="1" x14ac:dyDescent="0.2">
      <c r="A1243" s="259"/>
      <c r="C1243" s="286"/>
      <c r="D1243" s="512"/>
      <c r="E1243" s="427">
        <f t="shared" ref="E1243:P1243" si="371">SUM(E1241:E1242)</f>
        <v>45900</v>
      </c>
      <c r="F1243" s="427">
        <f t="shared" si="371"/>
        <v>44300</v>
      </c>
      <c r="G1243" s="427">
        <f t="shared" si="371"/>
        <v>40600</v>
      </c>
      <c r="H1243" s="427">
        <f t="shared" si="371"/>
        <v>38680</v>
      </c>
      <c r="I1243" s="427">
        <f t="shared" si="371"/>
        <v>34660</v>
      </c>
      <c r="J1243" s="427">
        <f t="shared" si="371"/>
        <v>33220</v>
      </c>
      <c r="K1243" s="427">
        <f t="shared" si="371"/>
        <v>33220</v>
      </c>
      <c r="L1243" s="427">
        <f t="shared" si="371"/>
        <v>33220</v>
      </c>
      <c r="M1243" s="427">
        <f t="shared" si="371"/>
        <v>36100</v>
      </c>
      <c r="N1243" s="427">
        <f t="shared" si="371"/>
        <v>40100</v>
      </c>
      <c r="O1243" s="427">
        <f t="shared" si="371"/>
        <v>42200</v>
      </c>
      <c r="P1243" s="427">
        <f t="shared" si="371"/>
        <v>45100</v>
      </c>
      <c r="Q1243" s="427">
        <f>SUM(E1243:P1243)</f>
        <v>467300</v>
      </c>
    </row>
    <row r="1244" spans="1:17" s="222" customFormat="1" x14ac:dyDescent="0.2">
      <c r="A1244" s="259"/>
      <c r="C1244" s="286"/>
      <c r="D1244" s="512"/>
      <c r="E1244" s="295"/>
      <c r="F1244" s="535"/>
      <c r="G1244" s="536"/>
      <c r="H1244" s="535"/>
      <c r="I1244" s="515"/>
      <c r="J1244" s="537"/>
      <c r="K1244" s="535"/>
      <c r="L1244" s="535"/>
      <c r="M1244" s="535"/>
      <c r="N1244" s="535"/>
      <c r="O1244" s="535"/>
      <c r="P1244" s="535"/>
      <c r="Q1244" s="469"/>
    </row>
    <row r="1245" spans="1:17" s="222" customFormat="1" x14ac:dyDescent="0.2">
      <c r="A1245" s="259">
        <f>A1242+1</f>
        <v>27</v>
      </c>
      <c r="C1245" s="286" t="s">
        <v>204</v>
      </c>
      <c r="D1245" s="286"/>
      <c r="E1245" s="427">
        <f>E1233+E1234+E1243</f>
        <v>46962.95</v>
      </c>
      <c r="F1245" s="427">
        <f t="shared" ref="F1245:P1245" si="372">F1233+F1234+F1243</f>
        <v>45362.95</v>
      </c>
      <c r="G1245" s="427">
        <f t="shared" si="372"/>
        <v>41662.949999999997</v>
      </c>
      <c r="H1245" s="427">
        <f t="shared" si="372"/>
        <v>39742.949999999997</v>
      </c>
      <c r="I1245" s="427">
        <f t="shared" si="372"/>
        <v>35722.949999999997</v>
      </c>
      <c r="J1245" s="427">
        <f t="shared" si="372"/>
        <v>34282.949999999997</v>
      </c>
      <c r="K1245" s="427">
        <f t="shared" si="372"/>
        <v>34282.949999999997</v>
      </c>
      <c r="L1245" s="427">
        <f t="shared" si="372"/>
        <v>34282.949999999997</v>
      </c>
      <c r="M1245" s="427">
        <f t="shared" si="372"/>
        <v>37162.949999999997</v>
      </c>
      <c r="N1245" s="427">
        <f t="shared" si="372"/>
        <v>41162.949999999997</v>
      </c>
      <c r="O1245" s="427">
        <f t="shared" si="372"/>
        <v>43262.95</v>
      </c>
      <c r="P1245" s="427">
        <f t="shared" si="372"/>
        <v>46162.95</v>
      </c>
      <c r="Q1245" s="427">
        <f>SUM(E1245:P1245)</f>
        <v>480055.40000000008</v>
      </c>
    </row>
    <row r="1246" spans="1:17" s="222" customFormat="1" x14ac:dyDescent="0.2">
      <c r="A1246" s="259"/>
      <c r="C1246" s="286"/>
      <c r="D1246" s="286"/>
      <c r="E1246" s="295"/>
      <c r="F1246" s="535"/>
      <c r="G1246" s="536"/>
      <c r="H1246" s="535"/>
      <c r="I1246" s="515"/>
      <c r="J1246" s="537"/>
      <c r="K1246" s="535"/>
      <c r="L1246" s="535"/>
      <c r="M1246" s="535"/>
      <c r="N1246" s="535"/>
      <c r="O1246" s="535"/>
      <c r="P1246" s="535"/>
      <c r="Q1246" s="469"/>
    </row>
    <row r="1247" spans="1:17" s="222" customFormat="1" x14ac:dyDescent="0.2">
      <c r="A1247" s="259">
        <f>A1245+1</f>
        <v>28</v>
      </c>
      <c r="C1247" s="222" t="s">
        <v>643</v>
      </c>
      <c r="D1247" s="783"/>
      <c r="E1247" s="510">
        <v>0</v>
      </c>
      <c r="F1247" s="510">
        <v>0</v>
      </c>
      <c r="G1247" s="510">
        <v>0</v>
      </c>
      <c r="H1247" s="510">
        <v>0</v>
      </c>
      <c r="I1247" s="510">
        <v>0</v>
      </c>
      <c r="J1247" s="510">
        <v>0</v>
      </c>
      <c r="K1247" s="510">
        <v>0</v>
      </c>
      <c r="L1247" s="510">
        <v>0</v>
      </c>
      <c r="M1247" s="510">
        <v>0</v>
      </c>
      <c r="N1247" s="510">
        <v>0</v>
      </c>
      <c r="O1247" s="510">
        <v>0</v>
      </c>
      <c r="P1247" s="510">
        <v>185945</v>
      </c>
      <c r="Q1247" s="427">
        <f>SUM(E1247:P1247)</f>
        <v>185945</v>
      </c>
    </row>
    <row r="1248" spans="1:17" s="222" customFormat="1" x14ac:dyDescent="0.2">
      <c r="A1248" s="259"/>
      <c r="D1248" s="286"/>
      <c r="F1248" s="288"/>
      <c r="G1248" s="469"/>
      <c r="H1248" s="288"/>
      <c r="I1248" s="293"/>
      <c r="J1248" s="288"/>
      <c r="K1248" s="288"/>
      <c r="L1248" s="288"/>
      <c r="M1248" s="288"/>
      <c r="N1248" s="288"/>
      <c r="O1248" s="288"/>
      <c r="P1248" s="288"/>
    </row>
    <row r="1249" spans="1:17" s="222" customFormat="1" ht="10.8" thickBot="1" x14ac:dyDescent="0.25">
      <c r="A1249" s="717">
        <f>A1247+1</f>
        <v>29</v>
      </c>
      <c r="B1249" s="489"/>
      <c r="C1249" s="718" t="s">
        <v>205</v>
      </c>
      <c r="D1249" s="719"/>
      <c r="E1249" s="492">
        <f t="shared" ref="E1249:P1249" si="373">E1245+E1247</f>
        <v>46962.95</v>
      </c>
      <c r="F1249" s="492">
        <f t="shared" si="373"/>
        <v>45362.95</v>
      </c>
      <c r="G1249" s="492">
        <f t="shared" si="373"/>
        <v>41662.949999999997</v>
      </c>
      <c r="H1249" s="492">
        <f t="shared" si="373"/>
        <v>39742.949999999997</v>
      </c>
      <c r="I1249" s="492">
        <f t="shared" si="373"/>
        <v>35722.949999999997</v>
      </c>
      <c r="J1249" s="492">
        <f t="shared" si="373"/>
        <v>34282.949999999997</v>
      </c>
      <c r="K1249" s="492">
        <f t="shared" si="373"/>
        <v>34282.949999999997</v>
      </c>
      <c r="L1249" s="492">
        <f t="shared" si="373"/>
        <v>34282.949999999997</v>
      </c>
      <c r="M1249" s="492">
        <f t="shared" si="373"/>
        <v>37162.949999999997</v>
      </c>
      <c r="N1249" s="492">
        <f t="shared" si="373"/>
        <v>41162.949999999997</v>
      </c>
      <c r="O1249" s="492">
        <f t="shared" si="373"/>
        <v>43262.95</v>
      </c>
      <c r="P1249" s="492">
        <f t="shared" si="373"/>
        <v>232107.95</v>
      </c>
      <c r="Q1249" s="492">
        <f>SUM(E1249:P1249)</f>
        <v>666000.40000000014</v>
      </c>
    </row>
    <row r="1250" spans="1:17" s="222" customFormat="1" ht="10.8" thickTop="1" x14ac:dyDescent="0.2">
      <c r="A1250" s="259"/>
      <c r="C1250" s="302"/>
      <c r="D1250" s="286"/>
      <c r="F1250" s="288"/>
      <c r="G1250" s="469"/>
      <c r="H1250" s="288"/>
      <c r="I1250" s="293"/>
      <c r="J1250" s="288"/>
      <c r="K1250" s="288"/>
      <c r="L1250" s="288"/>
      <c r="M1250" s="288"/>
      <c r="N1250" s="288"/>
      <c r="O1250" s="288"/>
      <c r="P1250" s="288"/>
    </row>
    <row r="1251" spans="1:17" x14ac:dyDescent="0.2">
      <c r="C1251" s="301"/>
    </row>
    <row r="1252" spans="1:17" x14ac:dyDescent="0.2">
      <c r="C1252" s="301"/>
    </row>
    <row r="1253" spans="1:17" x14ac:dyDescent="0.2">
      <c r="C1253" s="301"/>
    </row>
    <row r="1254" spans="1:17" x14ac:dyDescent="0.2">
      <c r="A1254" s="622" t="str">
        <f>$A$265</f>
        <v>[1] Reflects Normalized Volumes.</v>
      </c>
    </row>
    <row r="1255" spans="1:17" ht="10.8" thickBot="1" x14ac:dyDescent="0.25"/>
    <row r="1256" spans="1:17" ht="10.8" thickBot="1" x14ac:dyDescent="0.25">
      <c r="C1256" s="546"/>
      <c r="D1256" s="539"/>
      <c r="E1256" s="440"/>
      <c r="F1256" s="540"/>
      <c r="G1256" s="541"/>
      <c r="H1256" s="540"/>
      <c r="I1256" s="542"/>
      <c r="J1256" s="540"/>
      <c r="K1256" s="540"/>
      <c r="L1256" s="540"/>
      <c r="M1256" s="540"/>
      <c r="N1256" s="540"/>
      <c r="O1256" s="540"/>
      <c r="P1256" s="540"/>
      <c r="Q1256" s="441"/>
    </row>
    <row r="1257" spans="1:17" x14ac:dyDescent="0.2">
      <c r="C1257" s="439"/>
      <c r="D1257" s="539"/>
      <c r="E1257" s="440"/>
      <c r="F1257" s="540"/>
      <c r="G1257" s="541"/>
      <c r="H1257" s="540"/>
      <c r="I1257" s="542"/>
      <c r="J1257" s="540"/>
      <c r="K1257" s="540"/>
      <c r="L1257" s="540"/>
      <c r="M1257" s="540"/>
      <c r="N1257" s="540"/>
      <c r="O1257" s="540"/>
      <c r="P1257" s="540"/>
      <c r="Q1257" s="441"/>
    </row>
    <row r="1258" spans="1:17" x14ac:dyDescent="0.2">
      <c r="C1258" s="442" t="s">
        <v>300</v>
      </c>
      <c r="D1258" s="494" t="s">
        <v>377</v>
      </c>
      <c r="E1258" s="301"/>
      <c r="F1258" s="415"/>
      <c r="G1258" s="435"/>
      <c r="H1258" s="415"/>
      <c r="I1258" s="436"/>
      <c r="J1258" s="415"/>
      <c r="K1258" s="415"/>
      <c r="L1258" s="415"/>
      <c r="M1258" s="415"/>
      <c r="N1258" s="415"/>
      <c r="O1258" s="415"/>
      <c r="P1258" s="415"/>
      <c r="Q1258" s="443"/>
    </row>
    <row r="1259" spans="1:17" x14ac:dyDescent="0.2">
      <c r="C1259" s="445"/>
      <c r="D1259" s="300" t="s">
        <v>341</v>
      </c>
      <c r="E1259" s="499">
        <f t="shared" ref="E1259:P1259" si="374">E398+E459++E476+E493+E527+E544+E594+E616</f>
        <v>1588901.52</v>
      </c>
      <c r="F1259" s="499">
        <f t="shared" si="374"/>
        <v>1591845.52</v>
      </c>
      <c r="G1259" s="499">
        <f t="shared" si="374"/>
        <v>1592949.52</v>
      </c>
      <c r="H1259" s="499">
        <f t="shared" si="374"/>
        <v>1592629.52</v>
      </c>
      <c r="I1259" s="499">
        <f t="shared" si="374"/>
        <v>1584917.52</v>
      </c>
      <c r="J1259" s="499">
        <f t="shared" si="374"/>
        <v>1569781.52</v>
      </c>
      <c r="K1259" s="499">
        <f t="shared" si="374"/>
        <v>1556101.52</v>
      </c>
      <c r="L1259" s="499">
        <f t="shared" si="374"/>
        <v>1562149.52</v>
      </c>
      <c r="M1259" s="499">
        <f t="shared" si="374"/>
        <v>1551941.52</v>
      </c>
      <c r="N1259" s="499">
        <f t="shared" si="374"/>
        <v>1551557.52</v>
      </c>
      <c r="O1259" s="499">
        <f t="shared" si="374"/>
        <v>1568133.52</v>
      </c>
      <c r="P1259" s="499">
        <f t="shared" si="374"/>
        <v>1583077.52</v>
      </c>
      <c r="Q1259" s="543">
        <f t="shared" ref="Q1259:Q1265" si="375">SUM(E1259:P1259)</f>
        <v>18893986.239999998</v>
      </c>
    </row>
    <row r="1260" spans="1:17" x14ac:dyDescent="0.2">
      <c r="C1260" s="445"/>
      <c r="D1260" s="300" t="s">
        <v>340</v>
      </c>
      <c r="E1260" s="499">
        <f t="shared" ref="E1260:P1260" si="376">E399+E460++E477+E494+E528+E545+E595+E617</f>
        <v>0</v>
      </c>
      <c r="F1260" s="499">
        <f t="shared" si="376"/>
        <v>0</v>
      </c>
      <c r="G1260" s="499">
        <f t="shared" si="376"/>
        <v>0</v>
      </c>
      <c r="H1260" s="499">
        <f t="shared" si="376"/>
        <v>0</v>
      </c>
      <c r="I1260" s="499">
        <f t="shared" si="376"/>
        <v>0</v>
      </c>
      <c r="J1260" s="499">
        <f t="shared" si="376"/>
        <v>0</v>
      </c>
      <c r="K1260" s="499">
        <f t="shared" si="376"/>
        <v>0</v>
      </c>
      <c r="L1260" s="499">
        <f t="shared" si="376"/>
        <v>0</v>
      </c>
      <c r="M1260" s="499">
        <f t="shared" si="376"/>
        <v>0</v>
      </c>
      <c r="N1260" s="499">
        <f t="shared" si="376"/>
        <v>0</v>
      </c>
      <c r="O1260" s="499">
        <f t="shared" si="376"/>
        <v>0</v>
      </c>
      <c r="P1260" s="499">
        <f t="shared" si="376"/>
        <v>0</v>
      </c>
      <c r="Q1260" s="543">
        <f t="shared" si="375"/>
        <v>0</v>
      </c>
    </row>
    <row r="1261" spans="1:17" x14ac:dyDescent="0.2">
      <c r="C1261" s="445"/>
      <c r="D1261" s="300" t="s">
        <v>378</v>
      </c>
      <c r="E1261" s="499">
        <f t="shared" ref="E1261:P1261" si="377">E402+E462+E479+E496+E530+E547+E603+E619</f>
        <v>4786756.5699999994</v>
      </c>
      <c r="F1261" s="499">
        <f t="shared" si="377"/>
        <v>4639945.3000000017</v>
      </c>
      <c r="G1261" s="499">
        <f t="shared" si="377"/>
        <v>3480137.73</v>
      </c>
      <c r="H1261" s="499">
        <f t="shared" si="377"/>
        <v>1985782.02</v>
      </c>
      <c r="I1261" s="499">
        <f t="shared" si="377"/>
        <v>933593.32000000007</v>
      </c>
      <c r="J1261" s="499">
        <f t="shared" si="377"/>
        <v>445295.79</v>
      </c>
      <c r="K1261" s="499">
        <f t="shared" si="377"/>
        <v>319586.86</v>
      </c>
      <c r="L1261" s="499">
        <f t="shared" si="377"/>
        <v>308852.65000000002</v>
      </c>
      <c r="M1261" s="499">
        <f t="shared" si="377"/>
        <v>319575.53999999998</v>
      </c>
      <c r="N1261" s="499">
        <f t="shared" si="377"/>
        <v>509646.35000000003</v>
      </c>
      <c r="O1261" s="499">
        <f t="shared" si="377"/>
        <v>1468358.7400000002</v>
      </c>
      <c r="P1261" s="499">
        <f t="shared" si="377"/>
        <v>3257076.41</v>
      </c>
      <c r="Q1261" s="543">
        <f t="shared" si="375"/>
        <v>22454607.279999997</v>
      </c>
    </row>
    <row r="1262" spans="1:17" x14ac:dyDescent="0.2">
      <c r="C1262" s="445"/>
      <c r="D1262" s="300" t="s">
        <v>344</v>
      </c>
      <c r="E1262" s="499">
        <f t="shared" ref="E1262:P1262" si="378">E406+E466+E483+E500+E534+E551+E607++E623</f>
        <v>2943328.4000000004</v>
      </c>
      <c r="F1262" s="499">
        <f t="shared" si="378"/>
        <v>2853047.57</v>
      </c>
      <c r="G1262" s="499">
        <f t="shared" si="378"/>
        <v>2139916.29</v>
      </c>
      <c r="H1262" s="499">
        <f t="shared" si="378"/>
        <v>1221031.8699999999</v>
      </c>
      <c r="I1262" s="499">
        <f t="shared" si="378"/>
        <v>574051.21000000008</v>
      </c>
      <c r="J1262" s="499">
        <f t="shared" si="378"/>
        <v>273806.23000000004</v>
      </c>
      <c r="K1262" s="499">
        <f t="shared" si="378"/>
        <v>196508.5</v>
      </c>
      <c r="L1262" s="499">
        <f t="shared" si="378"/>
        <v>189912.57</v>
      </c>
      <c r="M1262" s="499">
        <f t="shared" si="378"/>
        <v>196502.31999999998</v>
      </c>
      <c r="N1262" s="499">
        <f t="shared" si="378"/>
        <v>313365.92</v>
      </c>
      <c r="O1262" s="499">
        <f t="shared" si="378"/>
        <v>902862.71</v>
      </c>
      <c r="P1262" s="499">
        <f t="shared" si="378"/>
        <v>2002761</v>
      </c>
      <c r="Q1262" s="543">
        <f t="shared" si="375"/>
        <v>13807094.590000004</v>
      </c>
    </row>
    <row r="1263" spans="1:17" x14ac:dyDescent="0.2">
      <c r="C1263" s="445"/>
      <c r="D1263" s="301" t="s">
        <v>379</v>
      </c>
      <c r="E1263" s="499">
        <f t="shared" ref="E1263:P1263" si="379">E411</f>
        <v>68509.41</v>
      </c>
      <c r="F1263" s="499">
        <f t="shared" si="379"/>
        <v>68636.37</v>
      </c>
      <c r="G1263" s="499">
        <f t="shared" si="379"/>
        <v>68683.98</v>
      </c>
      <c r="H1263" s="499">
        <f t="shared" si="379"/>
        <v>68670.179999999993</v>
      </c>
      <c r="I1263" s="499">
        <f t="shared" si="379"/>
        <v>68337.600000000006</v>
      </c>
      <c r="J1263" s="499">
        <f t="shared" si="379"/>
        <v>67684.86</v>
      </c>
      <c r="K1263" s="499">
        <f t="shared" si="379"/>
        <v>67094.91</v>
      </c>
      <c r="L1263" s="499">
        <f t="shared" si="379"/>
        <v>67355.73</v>
      </c>
      <c r="M1263" s="499">
        <f t="shared" si="379"/>
        <v>66915.509999999995</v>
      </c>
      <c r="N1263" s="499">
        <f t="shared" si="379"/>
        <v>66898.95</v>
      </c>
      <c r="O1263" s="499">
        <f t="shared" si="379"/>
        <v>67613.789999999994</v>
      </c>
      <c r="P1263" s="499">
        <f t="shared" si="379"/>
        <v>68258.25</v>
      </c>
      <c r="Q1263" s="543">
        <f t="shared" si="375"/>
        <v>814659.54</v>
      </c>
    </row>
    <row r="1264" spans="1:17" x14ac:dyDescent="0.2">
      <c r="C1264" s="445"/>
      <c r="D1264" s="301" t="s">
        <v>380</v>
      </c>
      <c r="E1264" s="499">
        <f t="shared" ref="E1264:P1264" si="380">E412</f>
        <v>34629.58</v>
      </c>
      <c r="F1264" s="499">
        <f t="shared" si="380"/>
        <v>33569.949999999997</v>
      </c>
      <c r="G1264" s="499">
        <f t="shared" si="380"/>
        <v>25178.48</v>
      </c>
      <c r="H1264" s="499">
        <f t="shared" si="380"/>
        <v>14366.39</v>
      </c>
      <c r="I1264" s="499">
        <f t="shared" si="380"/>
        <v>6754.19</v>
      </c>
      <c r="J1264" s="499">
        <f t="shared" si="380"/>
        <v>3221.69</v>
      </c>
      <c r="K1264" s="499">
        <f t="shared" si="380"/>
        <v>2312.1799999999998</v>
      </c>
      <c r="L1264" s="499">
        <f t="shared" si="380"/>
        <v>2234.46</v>
      </c>
      <c r="M1264" s="499">
        <f t="shared" si="380"/>
        <v>2312</v>
      </c>
      <c r="N1264" s="499">
        <f t="shared" si="380"/>
        <v>3686.39</v>
      </c>
      <c r="O1264" s="499">
        <f t="shared" si="380"/>
        <v>10622.1</v>
      </c>
      <c r="P1264" s="499">
        <f t="shared" si="380"/>
        <v>23562.69</v>
      </c>
      <c r="Q1264" s="543">
        <f t="shared" si="375"/>
        <v>162450.1</v>
      </c>
    </row>
    <row r="1265" spans="3:17" ht="12" x14ac:dyDescent="0.35">
      <c r="C1265" s="445"/>
      <c r="D1265" s="301" t="s">
        <v>381</v>
      </c>
      <c r="E1265" s="544">
        <f t="shared" ref="E1265:P1265" si="381">E413</f>
        <v>79514.850000000006</v>
      </c>
      <c r="F1265" s="544">
        <f t="shared" si="381"/>
        <v>77081.759999999995</v>
      </c>
      <c r="G1265" s="544">
        <f t="shared" si="381"/>
        <v>57813.66</v>
      </c>
      <c r="H1265" s="544">
        <f t="shared" si="381"/>
        <v>32987.440000000002</v>
      </c>
      <c r="I1265" s="544">
        <f t="shared" si="381"/>
        <v>15508.65</v>
      </c>
      <c r="J1265" s="544">
        <f t="shared" si="381"/>
        <v>7397.5</v>
      </c>
      <c r="K1265" s="544">
        <f t="shared" si="381"/>
        <v>5309.12</v>
      </c>
      <c r="L1265" s="544">
        <f t="shared" si="381"/>
        <v>5130.66</v>
      </c>
      <c r="M1265" s="544">
        <f t="shared" si="381"/>
        <v>5308.7</v>
      </c>
      <c r="N1265" s="544">
        <f t="shared" si="381"/>
        <v>8464.52</v>
      </c>
      <c r="O1265" s="544">
        <f t="shared" si="381"/>
        <v>24389.98</v>
      </c>
      <c r="P1265" s="544">
        <f t="shared" si="381"/>
        <v>54103.55</v>
      </c>
      <c r="Q1265" s="545">
        <f t="shared" si="375"/>
        <v>373010.38999999996</v>
      </c>
    </row>
    <row r="1266" spans="3:17" x14ac:dyDescent="0.2">
      <c r="C1266" s="445"/>
      <c r="D1266" s="301"/>
      <c r="E1266" s="499">
        <f>SUM(E1259:E1265)</f>
        <v>9501640.3300000001</v>
      </c>
      <c r="F1266" s="499">
        <f t="shared" ref="F1266:Q1266" si="382">SUM(F1259:F1265)</f>
        <v>9264126.4700000007</v>
      </c>
      <c r="G1266" s="499">
        <f t="shared" si="382"/>
        <v>7364679.6600000011</v>
      </c>
      <c r="H1266" s="499">
        <f t="shared" si="382"/>
        <v>4915467.42</v>
      </c>
      <c r="I1266" s="499">
        <f t="shared" si="382"/>
        <v>3183162.4899999998</v>
      </c>
      <c r="J1266" s="499">
        <f t="shared" si="382"/>
        <v>2367187.59</v>
      </c>
      <c r="K1266" s="499">
        <f t="shared" si="382"/>
        <v>2146913.0900000003</v>
      </c>
      <c r="L1266" s="499">
        <f t="shared" si="382"/>
        <v>2135635.5900000003</v>
      </c>
      <c r="M1266" s="499">
        <f t="shared" si="382"/>
        <v>2142555.5900000003</v>
      </c>
      <c r="N1266" s="499">
        <f t="shared" si="382"/>
        <v>2453619.6500000004</v>
      </c>
      <c r="O1266" s="499">
        <f t="shared" si="382"/>
        <v>4041980.8400000003</v>
      </c>
      <c r="P1266" s="499">
        <f t="shared" si="382"/>
        <v>6988839.4199999999</v>
      </c>
      <c r="Q1266" s="543">
        <f t="shared" si="382"/>
        <v>56505808.140000001</v>
      </c>
    </row>
    <row r="1267" spans="3:17" x14ac:dyDescent="0.2">
      <c r="C1267" s="445"/>
      <c r="D1267" s="301"/>
      <c r="E1267" s="499"/>
      <c r="F1267" s="499"/>
      <c r="G1267" s="499"/>
      <c r="H1267" s="499"/>
      <c r="I1267" s="499"/>
      <c r="J1267" s="499"/>
      <c r="K1267" s="499"/>
      <c r="L1267" s="499"/>
      <c r="M1267" s="499"/>
      <c r="N1267" s="499"/>
      <c r="O1267" s="499"/>
      <c r="P1267" s="499"/>
      <c r="Q1267" s="543"/>
    </row>
    <row r="1268" spans="3:17" x14ac:dyDescent="0.2">
      <c r="C1268" s="445"/>
      <c r="D1268" s="494" t="s">
        <v>382</v>
      </c>
      <c r="E1268" s="499"/>
      <c r="F1268" s="499"/>
      <c r="G1268" s="499"/>
      <c r="H1268" s="499"/>
      <c r="I1268" s="499"/>
      <c r="J1268" s="499"/>
      <c r="K1268" s="499"/>
      <c r="L1268" s="499"/>
      <c r="M1268" s="499"/>
      <c r="N1268" s="499"/>
      <c r="O1268" s="499"/>
      <c r="P1268" s="499"/>
      <c r="Q1268" s="543"/>
    </row>
    <row r="1269" spans="3:17" x14ac:dyDescent="0.2">
      <c r="C1269" s="445"/>
      <c r="D1269" s="300" t="s">
        <v>341</v>
      </c>
      <c r="E1269" s="499" t="e">
        <f>E424+#REF!+E561+E649</f>
        <v>#REF!</v>
      </c>
      <c r="F1269" s="499" t="e">
        <f>F424+#REF!+F561+F649</f>
        <v>#REF!</v>
      </c>
      <c r="G1269" s="499" t="e">
        <f>G424+#REF!+G561+G649</f>
        <v>#REF!</v>
      </c>
      <c r="H1269" s="499" t="e">
        <f>H424+#REF!+H561+H649</f>
        <v>#REF!</v>
      </c>
      <c r="I1269" s="499" t="e">
        <f>I424+#REF!+I561+I649</f>
        <v>#REF!</v>
      </c>
      <c r="J1269" s="499" t="e">
        <f>J424+#REF!+J561+J649</f>
        <v>#REF!</v>
      </c>
      <c r="K1269" s="499" t="e">
        <f>K424+#REF!+K561+K649</f>
        <v>#REF!</v>
      </c>
      <c r="L1269" s="499" t="e">
        <f>L424+#REF!+L561+L649</f>
        <v>#REF!</v>
      </c>
      <c r="M1269" s="499" t="e">
        <f>M424+#REF!+M561+M649</f>
        <v>#REF!</v>
      </c>
      <c r="N1269" s="499" t="e">
        <f>N424+#REF!+N561+N649</f>
        <v>#REF!</v>
      </c>
      <c r="O1269" s="499" t="e">
        <f>O424+#REF!+O561+O649</f>
        <v>#REF!</v>
      </c>
      <c r="P1269" s="499" t="e">
        <f>P424+#REF!+P561+P649</f>
        <v>#REF!</v>
      </c>
      <c r="Q1269" s="543" t="e">
        <f>SUM(E1269:P1269)</f>
        <v>#REF!</v>
      </c>
    </row>
    <row r="1270" spans="3:17" x14ac:dyDescent="0.2">
      <c r="C1270" s="445"/>
      <c r="D1270" s="300" t="s">
        <v>340</v>
      </c>
      <c r="E1270" s="499">
        <f t="shared" ref="E1270:P1270" si="383">E650</f>
        <v>0</v>
      </c>
      <c r="F1270" s="499">
        <f t="shared" si="383"/>
        <v>0</v>
      </c>
      <c r="G1270" s="499">
        <f t="shared" si="383"/>
        <v>0</v>
      </c>
      <c r="H1270" s="499">
        <f t="shared" si="383"/>
        <v>0</v>
      </c>
      <c r="I1270" s="499">
        <f t="shared" si="383"/>
        <v>0</v>
      </c>
      <c r="J1270" s="499">
        <f t="shared" si="383"/>
        <v>0</v>
      </c>
      <c r="K1270" s="499">
        <f t="shared" si="383"/>
        <v>0</v>
      </c>
      <c r="L1270" s="499">
        <f t="shared" si="383"/>
        <v>0</v>
      </c>
      <c r="M1270" s="499">
        <f t="shared" si="383"/>
        <v>0</v>
      </c>
      <c r="N1270" s="499">
        <f t="shared" si="383"/>
        <v>0</v>
      </c>
      <c r="O1270" s="499">
        <f t="shared" si="383"/>
        <v>0</v>
      </c>
      <c r="P1270" s="499">
        <f t="shared" si="383"/>
        <v>0</v>
      </c>
      <c r="Q1270" s="543">
        <f>SUM(E1270:P1270)</f>
        <v>0</v>
      </c>
    </row>
    <row r="1271" spans="3:17" x14ac:dyDescent="0.2">
      <c r="C1271" s="445"/>
      <c r="D1271" s="300" t="s">
        <v>378</v>
      </c>
      <c r="E1271" s="499" t="e">
        <f>E427+#REF!+E564+E663</f>
        <v>#REF!</v>
      </c>
      <c r="F1271" s="499" t="e">
        <f>F427+#REF!+F564+F663</f>
        <v>#REF!</v>
      </c>
      <c r="G1271" s="499" t="e">
        <f>G427+#REF!+G564+G663</f>
        <v>#REF!</v>
      </c>
      <c r="H1271" s="499" t="e">
        <f>H427+#REF!+H564+H663</f>
        <v>#REF!</v>
      </c>
      <c r="I1271" s="499" t="e">
        <f>I427+#REF!+I564+I663</f>
        <v>#REF!</v>
      </c>
      <c r="J1271" s="499" t="e">
        <f>J427+#REF!+J564+J663</f>
        <v>#REF!</v>
      </c>
      <c r="K1271" s="499" t="e">
        <f>K427+#REF!+K564+K663</f>
        <v>#REF!</v>
      </c>
      <c r="L1271" s="499" t="e">
        <f>L427+#REF!+L564+L663</f>
        <v>#REF!</v>
      </c>
      <c r="M1271" s="499" t="e">
        <f>M427+#REF!+M564+M663</f>
        <v>#REF!</v>
      </c>
      <c r="N1271" s="499" t="e">
        <f>N427+#REF!+N564+N663</f>
        <v>#REF!</v>
      </c>
      <c r="O1271" s="499" t="e">
        <f>O427+#REF!+O564+O663</f>
        <v>#REF!</v>
      </c>
      <c r="P1271" s="499" t="e">
        <f>P427+#REF!+P564+P663</f>
        <v>#REF!</v>
      </c>
      <c r="Q1271" s="543" t="e">
        <f>SUM(E1271:P1271)</f>
        <v>#REF!</v>
      </c>
    </row>
    <row r="1272" spans="3:17" x14ac:dyDescent="0.2">
      <c r="C1272" s="445"/>
      <c r="D1272" s="300" t="s">
        <v>344</v>
      </c>
      <c r="E1272" s="499" t="e">
        <f>E431+#REF!+E568+E667</f>
        <v>#REF!</v>
      </c>
      <c r="F1272" s="499" t="e">
        <f>F431+#REF!+F568+F667</f>
        <v>#REF!</v>
      </c>
      <c r="G1272" s="499" t="e">
        <f>G431+#REF!+G568+G667</f>
        <v>#REF!</v>
      </c>
      <c r="H1272" s="499" t="e">
        <f>H431+#REF!+H568+H667</f>
        <v>#REF!</v>
      </c>
      <c r="I1272" s="499" t="e">
        <f>I431+#REF!+I568+I667</f>
        <v>#REF!</v>
      </c>
      <c r="J1272" s="499" t="e">
        <f>J431+#REF!+J568+J667</f>
        <v>#REF!</v>
      </c>
      <c r="K1272" s="499" t="e">
        <f>K431+#REF!+K568+K667</f>
        <v>#REF!</v>
      </c>
      <c r="L1272" s="499" t="e">
        <f>L431+#REF!+L568+L667</f>
        <v>#REF!</v>
      </c>
      <c r="M1272" s="499" t="e">
        <f>M431+#REF!+M568+M667</f>
        <v>#REF!</v>
      </c>
      <c r="N1272" s="499" t="e">
        <f>N431+#REF!+N568+N667</f>
        <v>#REF!</v>
      </c>
      <c r="O1272" s="499" t="e">
        <f>O431+#REF!+O568+O667</f>
        <v>#REF!</v>
      </c>
      <c r="P1272" s="499" t="e">
        <f>P431+#REF!+P568+P667</f>
        <v>#REF!</v>
      </c>
      <c r="Q1272" s="543" t="e">
        <f>SUM(E1272:P1272)</f>
        <v>#REF!</v>
      </c>
    </row>
    <row r="1273" spans="3:17" ht="12" x14ac:dyDescent="0.35">
      <c r="C1273" s="445"/>
      <c r="D1273" s="301" t="s">
        <v>383</v>
      </c>
      <c r="E1273" s="544">
        <f t="shared" ref="E1273:P1273" si="384">E672</f>
        <v>17179.240000000002</v>
      </c>
      <c r="F1273" s="544">
        <f t="shared" si="384"/>
        <v>17031.580000000002</v>
      </c>
      <c r="G1273" s="544">
        <f t="shared" si="384"/>
        <v>11878.04</v>
      </c>
      <c r="H1273" s="544">
        <f t="shared" si="384"/>
        <v>7209.85</v>
      </c>
      <c r="I1273" s="544">
        <f t="shared" si="384"/>
        <v>3496.49</v>
      </c>
      <c r="J1273" s="544">
        <f t="shared" si="384"/>
        <v>2098.6799999999998</v>
      </c>
      <c r="K1273" s="544">
        <f t="shared" si="384"/>
        <v>1474.94</v>
      </c>
      <c r="L1273" s="544">
        <f t="shared" si="384"/>
        <v>1372.43</v>
      </c>
      <c r="M1273" s="544">
        <f t="shared" si="384"/>
        <v>1346.83</v>
      </c>
      <c r="N1273" s="544">
        <f t="shared" si="384"/>
        <v>2005.75</v>
      </c>
      <c r="O1273" s="544">
        <f t="shared" si="384"/>
        <v>4446.93</v>
      </c>
      <c r="P1273" s="544">
        <f t="shared" si="384"/>
        <v>11012.84</v>
      </c>
      <c r="Q1273" s="545">
        <f>SUM(E1273:P1273)</f>
        <v>80553.600000000006</v>
      </c>
    </row>
    <row r="1274" spans="3:17" x14ac:dyDescent="0.2">
      <c r="C1274" s="445"/>
      <c r="D1274" s="300"/>
      <c r="E1274" s="499" t="e">
        <f>SUM(E1269:E1273)</f>
        <v>#REF!</v>
      </c>
      <c r="F1274" s="499" t="e">
        <f t="shared" ref="F1274:Q1274" si="385">SUM(F1269:F1273)</f>
        <v>#REF!</v>
      </c>
      <c r="G1274" s="499" t="e">
        <f t="shared" si="385"/>
        <v>#REF!</v>
      </c>
      <c r="H1274" s="499" t="e">
        <f t="shared" si="385"/>
        <v>#REF!</v>
      </c>
      <c r="I1274" s="499" t="e">
        <f t="shared" si="385"/>
        <v>#REF!</v>
      </c>
      <c r="J1274" s="499" t="e">
        <f t="shared" si="385"/>
        <v>#REF!</v>
      </c>
      <c r="K1274" s="499" t="e">
        <f t="shared" si="385"/>
        <v>#REF!</v>
      </c>
      <c r="L1274" s="499" t="e">
        <f t="shared" si="385"/>
        <v>#REF!</v>
      </c>
      <c r="M1274" s="499" t="e">
        <f t="shared" si="385"/>
        <v>#REF!</v>
      </c>
      <c r="N1274" s="499" t="e">
        <f t="shared" si="385"/>
        <v>#REF!</v>
      </c>
      <c r="O1274" s="499" t="e">
        <f t="shared" si="385"/>
        <v>#REF!</v>
      </c>
      <c r="P1274" s="499" t="e">
        <f t="shared" si="385"/>
        <v>#REF!</v>
      </c>
      <c r="Q1274" s="543" t="e">
        <f t="shared" si="385"/>
        <v>#REF!</v>
      </c>
    </row>
    <row r="1275" spans="3:17" x14ac:dyDescent="0.2">
      <c r="C1275" s="445"/>
      <c r="D1275" s="300"/>
      <c r="E1275" s="499"/>
      <c r="F1275" s="499"/>
      <c r="G1275" s="499"/>
      <c r="H1275" s="499"/>
      <c r="I1275" s="499"/>
      <c r="J1275" s="499"/>
      <c r="K1275" s="499"/>
      <c r="L1275" s="499"/>
      <c r="M1275" s="499"/>
      <c r="N1275" s="499"/>
      <c r="O1275" s="499"/>
      <c r="P1275" s="499"/>
      <c r="Q1275" s="543"/>
    </row>
    <row r="1276" spans="3:17" x14ac:dyDescent="0.2">
      <c r="C1276" s="445"/>
      <c r="D1276" s="494" t="s">
        <v>384</v>
      </c>
      <c r="E1276" s="499"/>
      <c r="F1276" s="499"/>
      <c r="G1276" s="499"/>
      <c r="H1276" s="499"/>
      <c r="I1276" s="499"/>
      <c r="J1276" s="499"/>
      <c r="K1276" s="499"/>
      <c r="L1276" s="499"/>
      <c r="M1276" s="499"/>
      <c r="N1276" s="499"/>
      <c r="O1276" s="499"/>
      <c r="P1276" s="499"/>
      <c r="Q1276" s="543"/>
    </row>
    <row r="1277" spans="3:17" x14ac:dyDescent="0.2">
      <c r="C1277" s="445"/>
      <c r="D1277" s="300" t="s">
        <v>341</v>
      </c>
      <c r="E1277" s="499">
        <f t="shared" ref="E1277:P1277" si="386">E700+E750</f>
        <v>1921.67</v>
      </c>
      <c r="F1277" s="499">
        <f t="shared" si="386"/>
        <v>1921.67</v>
      </c>
      <c r="G1277" s="499">
        <f t="shared" si="386"/>
        <v>1921.67</v>
      </c>
      <c r="H1277" s="499">
        <f t="shared" si="386"/>
        <v>1921.67</v>
      </c>
      <c r="I1277" s="499">
        <f t="shared" si="386"/>
        <v>1921.67</v>
      </c>
      <c r="J1277" s="499">
        <f t="shared" si="386"/>
        <v>1966.36</v>
      </c>
      <c r="K1277" s="499">
        <f t="shared" si="386"/>
        <v>1966.36</v>
      </c>
      <c r="L1277" s="499">
        <f t="shared" si="386"/>
        <v>2011.05</v>
      </c>
      <c r="M1277" s="499">
        <f t="shared" si="386"/>
        <v>1966.36</v>
      </c>
      <c r="N1277" s="499">
        <f t="shared" si="386"/>
        <v>1966.36</v>
      </c>
      <c r="O1277" s="499">
        <f t="shared" si="386"/>
        <v>1966.36</v>
      </c>
      <c r="P1277" s="499">
        <f t="shared" si="386"/>
        <v>1966.36</v>
      </c>
      <c r="Q1277" s="543">
        <f>SUM(E1277:P1277)</f>
        <v>23417.56</v>
      </c>
    </row>
    <row r="1278" spans="3:17" x14ac:dyDescent="0.2">
      <c r="C1278" s="445"/>
      <c r="D1278" s="300" t="s">
        <v>340</v>
      </c>
      <c r="E1278" s="499">
        <f t="shared" ref="E1278:P1278" si="387">E701+E751</f>
        <v>0</v>
      </c>
      <c r="F1278" s="499">
        <f t="shared" si="387"/>
        <v>0</v>
      </c>
      <c r="G1278" s="499">
        <f t="shared" si="387"/>
        <v>0</v>
      </c>
      <c r="H1278" s="499">
        <f t="shared" si="387"/>
        <v>0</v>
      </c>
      <c r="I1278" s="499">
        <f t="shared" si="387"/>
        <v>0</v>
      </c>
      <c r="J1278" s="499">
        <f t="shared" si="387"/>
        <v>0</v>
      </c>
      <c r="K1278" s="499">
        <f t="shared" si="387"/>
        <v>0</v>
      </c>
      <c r="L1278" s="499">
        <f t="shared" si="387"/>
        <v>0</v>
      </c>
      <c r="M1278" s="499">
        <f t="shared" si="387"/>
        <v>0</v>
      </c>
      <c r="N1278" s="499">
        <f t="shared" si="387"/>
        <v>0</v>
      </c>
      <c r="O1278" s="499">
        <f t="shared" si="387"/>
        <v>0</v>
      </c>
      <c r="P1278" s="499">
        <f t="shared" si="387"/>
        <v>0</v>
      </c>
      <c r="Q1278" s="543">
        <f>SUM(E1278:P1278)</f>
        <v>0</v>
      </c>
    </row>
    <row r="1279" spans="3:17" x14ac:dyDescent="0.2">
      <c r="C1279" s="445"/>
      <c r="D1279" s="300" t="s">
        <v>378</v>
      </c>
      <c r="E1279" s="499">
        <f t="shared" ref="E1279:P1279" si="388">E714+E762</f>
        <v>71950.84</v>
      </c>
      <c r="F1279" s="499">
        <f t="shared" si="388"/>
        <v>69553.72</v>
      </c>
      <c r="G1279" s="499">
        <f t="shared" si="388"/>
        <v>67416.56</v>
      </c>
      <c r="H1279" s="499">
        <f t="shared" si="388"/>
        <v>64889.67</v>
      </c>
      <c r="I1279" s="499">
        <f t="shared" si="388"/>
        <v>61994.35</v>
      </c>
      <c r="J1279" s="499">
        <f t="shared" si="388"/>
        <v>59408.770000000004</v>
      </c>
      <c r="K1279" s="499">
        <f t="shared" si="388"/>
        <v>59407.51</v>
      </c>
      <c r="L1279" s="499">
        <f t="shared" si="388"/>
        <v>61753.68</v>
      </c>
      <c r="M1279" s="499">
        <f t="shared" si="388"/>
        <v>61747.02</v>
      </c>
      <c r="N1279" s="499">
        <f t="shared" si="388"/>
        <v>66366.290000000008</v>
      </c>
      <c r="O1279" s="499">
        <f t="shared" si="388"/>
        <v>66844.78</v>
      </c>
      <c r="P1279" s="499">
        <f t="shared" si="388"/>
        <v>67347.58</v>
      </c>
      <c r="Q1279" s="543">
        <f>SUM(E1279:P1279)</f>
        <v>778680.77</v>
      </c>
    </row>
    <row r="1280" spans="3:17" x14ac:dyDescent="0.2">
      <c r="C1280" s="445"/>
      <c r="D1280" s="300" t="s">
        <v>344</v>
      </c>
      <c r="E1280" s="499">
        <f t="shared" ref="E1280:P1280" si="389">E718+E766</f>
        <v>72900.740000000005</v>
      </c>
      <c r="F1280" s="499">
        <f t="shared" si="389"/>
        <v>70690.98</v>
      </c>
      <c r="G1280" s="499">
        <f t="shared" si="389"/>
        <v>68261.19</v>
      </c>
      <c r="H1280" s="499">
        <f t="shared" si="389"/>
        <v>65830.960000000006</v>
      </c>
      <c r="I1280" s="499">
        <f t="shared" si="389"/>
        <v>63622.74</v>
      </c>
      <c r="J1280" s="499">
        <f t="shared" si="389"/>
        <v>61302.3</v>
      </c>
      <c r="K1280" s="499">
        <f t="shared" si="389"/>
        <v>61302.3</v>
      </c>
      <c r="L1280" s="499">
        <f t="shared" si="389"/>
        <v>63512.07</v>
      </c>
      <c r="M1280" s="499">
        <f t="shared" si="389"/>
        <v>63512.07</v>
      </c>
      <c r="N1280" s="499">
        <f t="shared" si="389"/>
        <v>68150.509999999995</v>
      </c>
      <c r="O1280" s="499">
        <f t="shared" si="389"/>
        <v>68261.19</v>
      </c>
      <c r="P1280" s="499">
        <f t="shared" si="389"/>
        <v>68482.320000000007</v>
      </c>
      <c r="Q1280" s="543">
        <f>SUM(E1280:P1280)</f>
        <v>795829.36999999988</v>
      </c>
    </row>
    <row r="1281" spans="3:17" ht="12" x14ac:dyDescent="0.35">
      <c r="C1281" s="445"/>
      <c r="D1281" s="301" t="s">
        <v>383</v>
      </c>
      <c r="E1281" s="544">
        <f t="shared" ref="E1281:P1281" si="390">E723+E771</f>
        <v>858.01</v>
      </c>
      <c r="F1281" s="544">
        <f t="shared" si="390"/>
        <v>832</v>
      </c>
      <c r="G1281" s="544">
        <f t="shared" si="390"/>
        <v>803.4</v>
      </c>
      <c r="H1281" s="544">
        <f t="shared" si="390"/>
        <v>774.8</v>
      </c>
      <c r="I1281" s="544">
        <f t="shared" si="390"/>
        <v>748.81</v>
      </c>
      <c r="J1281" s="544">
        <f t="shared" si="390"/>
        <v>721.5</v>
      </c>
      <c r="K1281" s="544">
        <f t="shared" si="390"/>
        <v>721.5</v>
      </c>
      <c r="L1281" s="544">
        <f t="shared" si="390"/>
        <v>747.51</v>
      </c>
      <c r="M1281" s="544">
        <f t="shared" si="390"/>
        <v>747.51</v>
      </c>
      <c r="N1281" s="544">
        <f t="shared" si="390"/>
        <v>802.1</v>
      </c>
      <c r="O1281" s="544">
        <f t="shared" si="390"/>
        <v>803.4</v>
      </c>
      <c r="P1281" s="544">
        <f t="shared" si="390"/>
        <v>806</v>
      </c>
      <c r="Q1281" s="545">
        <f>SUM(E1281:P1281)</f>
        <v>9366.5400000000009</v>
      </c>
    </row>
    <row r="1282" spans="3:17" x14ac:dyDescent="0.2">
      <c r="C1282" s="445"/>
      <c r="D1282" s="301"/>
      <c r="E1282" s="499">
        <f>SUM(E1277:E1281)</f>
        <v>147631.26</v>
      </c>
      <c r="F1282" s="499">
        <f t="shared" ref="F1282:Q1282" si="391">SUM(F1277:F1281)</f>
        <v>142998.37</v>
      </c>
      <c r="G1282" s="499">
        <f t="shared" si="391"/>
        <v>138402.81999999998</v>
      </c>
      <c r="H1282" s="499">
        <f t="shared" si="391"/>
        <v>133417.09999999998</v>
      </c>
      <c r="I1282" s="499">
        <f t="shared" si="391"/>
        <v>128287.56999999999</v>
      </c>
      <c r="J1282" s="499">
        <f t="shared" si="391"/>
        <v>123398.93000000001</v>
      </c>
      <c r="K1282" s="499">
        <f t="shared" si="391"/>
        <v>123397.67000000001</v>
      </c>
      <c r="L1282" s="499">
        <f t="shared" si="391"/>
        <v>128024.31</v>
      </c>
      <c r="M1282" s="499">
        <f t="shared" si="391"/>
        <v>127972.95999999999</v>
      </c>
      <c r="N1282" s="499">
        <f t="shared" si="391"/>
        <v>137285.26</v>
      </c>
      <c r="O1282" s="499">
        <f t="shared" si="391"/>
        <v>137875.73000000001</v>
      </c>
      <c r="P1282" s="499">
        <f t="shared" si="391"/>
        <v>138602.26</v>
      </c>
      <c r="Q1282" s="543">
        <f t="shared" si="391"/>
        <v>1607294.24</v>
      </c>
    </row>
    <row r="1283" spans="3:17" x14ac:dyDescent="0.2">
      <c r="C1283" s="445"/>
      <c r="D1283" s="301"/>
      <c r="E1283" s="499"/>
      <c r="F1283" s="499"/>
      <c r="G1283" s="499"/>
      <c r="H1283" s="499"/>
      <c r="I1283" s="499"/>
      <c r="J1283" s="499"/>
      <c r="K1283" s="499"/>
      <c r="L1283" s="499"/>
      <c r="M1283" s="499"/>
      <c r="N1283" s="499"/>
      <c r="O1283" s="499"/>
      <c r="P1283" s="499"/>
      <c r="Q1283" s="543"/>
    </row>
    <row r="1284" spans="3:17" x14ac:dyDescent="0.2">
      <c r="C1284" s="445"/>
      <c r="D1284" s="494" t="s">
        <v>385</v>
      </c>
      <c r="E1284" s="499"/>
      <c r="F1284" s="499"/>
      <c r="G1284" s="499"/>
      <c r="H1284" s="499"/>
      <c r="I1284" s="499"/>
      <c r="J1284" s="499"/>
      <c r="K1284" s="499"/>
      <c r="L1284" s="499"/>
      <c r="M1284" s="499"/>
      <c r="N1284" s="499"/>
      <c r="O1284" s="499"/>
      <c r="P1284" s="499"/>
      <c r="Q1284" s="543"/>
    </row>
    <row r="1285" spans="3:17" x14ac:dyDescent="0.2">
      <c r="C1285" s="445"/>
      <c r="D1285" s="300" t="s">
        <v>341</v>
      </c>
      <c r="E1285" s="499">
        <f t="shared" ref="E1285:P1285" si="392">E781</f>
        <v>1134.8</v>
      </c>
      <c r="F1285" s="499">
        <f t="shared" si="392"/>
        <v>1134.8</v>
      </c>
      <c r="G1285" s="499">
        <f t="shared" si="392"/>
        <v>1134.8</v>
      </c>
      <c r="H1285" s="499">
        <f t="shared" si="392"/>
        <v>1134.8</v>
      </c>
      <c r="I1285" s="499">
        <f t="shared" si="392"/>
        <v>1134.8</v>
      </c>
      <c r="J1285" s="499">
        <f t="shared" si="392"/>
        <v>1134.8</v>
      </c>
      <c r="K1285" s="499">
        <f t="shared" si="392"/>
        <v>1134.8</v>
      </c>
      <c r="L1285" s="499">
        <f t="shared" si="392"/>
        <v>1134.8</v>
      </c>
      <c r="M1285" s="499">
        <f t="shared" si="392"/>
        <v>1134.8</v>
      </c>
      <c r="N1285" s="499">
        <f t="shared" si="392"/>
        <v>1134.8</v>
      </c>
      <c r="O1285" s="499">
        <f t="shared" si="392"/>
        <v>1134.8</v>
      </c>
      <c r="P1285" s="499">
        <f t="shared" si="392"/>
        <v>1134.8</v>
      </c>
      <c r="Q1285" s="543">
        <f>SUM(E1285:P1285)</f>
        <v>13617.599999999997</v>
      </c>
    </row>
    <row r="1286" spans="3:17" x14ac:dyDescent="0.2">
      <c r="C1286" s="445"/>
      <c r="D1286" s="300" t="s">
        <v>340</v>
      </c>
      <c r="E1286" s="499">
        <f t="shared" ref="E1286:P1286" si="393">E782</f>
        <v>0</v>
      </c>
      <c r="F1286" s="499">
        <f t="shared" si="393"/>
        <v>0</v>
      </c>
      <c r="G1286" s="499">
        <f t="shared" si="393"/>
        <v>0</v>
      </c>
      <c r="H1286" s="499">
        <f t="shared" si="393"/>
        <v>0</v>
      </c>
      <c r="I1286" s="499">
        <f t="shared" si="393"/>
        <v>0</v>
      </c>
      <c r="J1286" s="499">
        <f t="shared" si="393"/>
        <v>0</v>
      </c>
      <c r="K1286" s="499">
        <f t="shared" si="393"/>
        <v>0</v>
      </c>
      <c r="L1286" s="499">
        <f t="shared" si="393"/>
        <v>0</v>
      </c>
      <c r="M1286" s="499">
        <f t="shared" si="393"/>
        <v>0</v>
      </c>
      <c r="N1286" s="499">
        <f t="shared" si="393"/>
        <v>0</v>
      </c>
      <c r="O1286" s="499">
        <f t="shared" si="393"/>
        <v>0</v>
      </c>
      <c r="P1286" s="499">
        <f t="shared" si="393"/>
        <v>0</v>
      </c>
      <c r="Q1286" s="543">
        <f>SUM(E1286:P1286)</f>
        <v>0</v>
      </c>
    </row>
    <row r="1287" spans="3:17" x14ac:dyDescent="0.2">
      <c r="C1287" s="445"/>
      <c r="D1287" s="300" t="s">
        <v>378</v>
      </c>
      <c r="E1287" s="499">
        <f t="shared" ref="E1287:P1287" si="394">E785</f>
        <v>3649.55</v>
      </c>
      <c r="F1287" s="499">
        <f t="shared" si="394"/>
        <v>2684.43</v>
      </c>
      <c r="G1287" s="499">
        <f t="shared" si="394"/>
        <v>1278.22</v>
      </c>
      <c r="H1287" s="499">
        <f t="shared" si="394"/>
        <v>746.62</v>
      </c>
      <c r="I1287" s="499">
        <f t="shared" si="394"/>
        <v>422.23</v>
      </c>
      <c r="J1287" s="499">
        <f t="shared" si="394"/>
        <v>257.60000000000002</v>
      </c>
      <c r="K1287" s="499">
        <f t="shared" si="394"/>
        <v>285.06</v>
      </c>
      <c r="L1287" s="499">
        <f t="shared" si="394"/>
        <v>228.4</v>
      </c>
      <c r="M1287" s="499">
        <f t="shared" si="394"/>
        <v>228.74</v>
      </c>
      <c r="N1287" s="499">
        <f t="shared" si="394"/>
        <v>820.5</v>
      </c>
      <c r="O1287" s="499">
        <f t="shared" si="394"/>
        <v>1180.1400000000001</v>
      </c>
      <c r="P1287" s="499">
        <f t="shared" si="394"/>
        <v>1390.15</v>
      </c>
      <c r="Q1287" s="543">
        <f>SUM(E1287:P1287)</f>
        <v>13171.639999999998</v>
      </c>
    </row>
    <row r="1288" spans="3:17" x14ac:dyDescent="0.2">
      <c r="C1288" s="445"/>
      <c r="D1288" s="300" t="s">
        <v>344</v>
      </c>
      <c r="E1288" s="499">
        <f t="shared" ref="E1288:P1288" si="395">E789</f>
        <v>6929.28</v>
      </c>
      <c r="F1288" s="499">
        <f t="shared" si="395"/>
        <v>5096.84</v>
      </c>
      <c r="G1288" s="499">
        <f t="shared" si="395"/>
        <v>2426.92</v>
      </c>
      <c r="H1288" s="499">
        <f t="shared" si="395"/>
        <v>1417.58</v>
      </c>
      <c r="I1288" s="499">
        <f t="shared" si="395"/>
        <v>801.68</v>
      </c>
      <c r="J1288" s="499">
        <f t="shared" si="395"/>
        <v>489.09</v>
      </c>
      <c r="K1288" s="499">
        <f t="shared" si="395"/>
        <v>541.23</v>
      </c>
      <c r="L1288" s="499">
        <f t="shared" si="395"/>
        <v>433.65</v>
      </c>
      <c r="M1288" s="499">
        <f t="shared" si="395"/>
        <v>434.31</v>
      </c>
      <c r="N1288" s="499">
        <f t="shared" si="395"/>
        <v>1557.86</v>
      </c>
      <c r="O1288" s="499">
        <f t="shared" si="395"/>
        <v>2240.69</v>
      </c>
      <c r="P1288" s="499">
        <f t="shared" si="395"/>
        <v>2639.43</v>
      </c>
      <c r="Q1288" s="543">
        <f>SUM(E1288:P1288)</f>
        <v>25008.560000000001</v>
      </c>
    </row>
    <row r="1289" spans="3:17" ht="12" x14ac:dyDescent="0.35">
      <c r="C1289" s="445"/>
      <c r="D1289" s="301" t="s">
        <v>383</v>
      </c>
      <c r="E1289" s="544">
        <f t="shared" ref="E1289:P1289" si="396">E794</f>
        <v>81.55</v>
      </c>
      <c r="F1289" s="544">
        <f t="shared" si="396"/>
        <v>59.99</v>
      </c>
      <c r="G1289" s="544">
        <f t="shared" si="396"/>
        <v>28.56</v>
      </c>
      <c r="H1289" s="544">
        <f t="shared" si="396"/>
        <v>16.68</v>
      </c>
      <c r="I1289" s="544">
        <f t="shared" si="396"/>
        <v>9.44</v>
      </c>
      <c r="J1289" s="544">
        <f t="shared" si="396"/>
        <v>5.76</v>
      </c>
      <c r="K1289" s="544">
        <f t="shared" si="396"/>
        <v>6.37</v>
      </c>
      <c r="L1289" s="544">
        <f t="shared" si="396"/>
        <v>5.0999999999999996</v>
      </c>
      <c r="M1289" s="544">
        <f t="shared" si="396"/>
        <v>5.1100000000000003</v>
      </c>
      <c r="N1289" s="544">
        <f t="shared" si="396"/>
        <v>18.34</v>
      </c>
      <c r="O1289" s="544">
        <f t="shared" si="396"/>
        <v>26.37</v>
      </c>
      <c r="P1289" s="544">
        <f t="shared" si="396"/>
        <v>31.06</v>
      </c>
      <c r="Q1289" s="545">
        <f>SUM(E1289:P1289)</f>
        <v>294.33</v>
      </c>
    </row>
    <row r="1290" spans="3:17" x14ac:dyDescent="0.2">
      <c r="C1290" s="445"/>
      <c r="D1290" s="300"/>
      <c r="E1290" s="499">
        <f>SUM(E1285:E1289)</f>
        <v>11795.18</v>
      </c>
      <c r="F1290" s="499">
        <f t="shared" ref="F1290:Q1290" si="397">SUM(F1285:F1289)</f>
        <v>8976.06</v>
      </c>
      <c r="G1290" s="499">
        <f t="shared" si="397"/>
        <v>4868.5000000000009</v>
      </c>
      <c r="H1290" s="499">
        <f t="shared" si="397"/>
        <v>3315.68</v>
      </c>
      <c r="I1290" s="499">
        <f t="shared" si="397"/>
        <v>2368.15</v>
      </c>
      <c r="J1290" s="499">
        <f t="shared" si="397"/>
        <v>1887.25</v>
      </c>
      <c r="K1290" s="499">
        <f t="shared" si="397"/>
        <v>1967.4599999999998</v>
      </c>
      <c r="L1290" s="499">
        <f t="shared" si="397"/>
        <v>1801.9499999999998</v>
      </c>
      <c r="M1290" s="499">
        <f t="shared" si="397"/>
        <v>1802.9599999999998</v>
      </c>
      <c r="N1290" s="499">
        <f t="shared" si="397"/>
        <v>3531.5</v>
      </c>
      <c r="O1290" s="499">
        <f t="shared" si="397"/>
        <v>4582</v>
      </c>
      <c r="P1290" s="499">
        <f t="shared" si="397"/>
        <v>5195.4399999999996</v>
      </c>
      <c r="Q1290" s="543">
        <f t="shared" si="397"/>
        <v>52092.13</v>
      </c>
    </row>
    <row r="1291" spans="3:17" ht="10.8" thickBot="1" x14ac:dyDescent="0.25">
      <c r="C1291" s="445"/>
      <c r="D1291" s="300"/>
      <c r="E1291" s="499"/>
      <c r="F1291" s="499"/>
      <c r="G1291" s="499"/>
      <c r="H1291" s="499"/>
      <c r="I1291" s="499"/>
      <c r="J1291" s="499"/>
      <c r="K1291" s="499"/>
      <c r="L1291" s="499"/>
      <c r="M1291" s="499"/>
      <c r="N1291" s="499"/>
      <c r="O1291" s="499"/>
      <c r="P1291" s="499"/>
      <c r="Q1291" s="543"/>
    </row>
    <row r="1292" spans="3:17" x14ac:dyDescent="0.2">
      <c r="C1292" s="445"/>
      <c r="D1292" s="546" t="s">
        <v>386</v>
      </c>
      <c r="E1292" s="547"/>
      <c r="F1292" s="547"/>
      <c r="G1292" s="547"/>
      <c r="H1292" s="547"/>
      <c r="I1292" s="547"/>
      <c r="J1292" s="547"/>
      <c r="K1292" s="547"/>
      <c r="L1292" s="547"/>
      <c r="M1292" s="547"/>
      <c r="N1292" s="547"/>
      <c r="O1292" s="547"/>
      <c r="P1292" s="547"/>
      <c r="Q1292" s="548"/>
    </row>
    <row r="1293" spans="3:17" x14ac:dyDescent="0.2">
      <c r="C1293" s="445"/>
      <c r="D1293" s="549" t="s">
        <v>341</v>
      </c>
      <c r="E1293" s="499" t="e">
        <f>E1259+E1269+E1277+E1285</f>
        <v>#REF!</v>
      </c>
      <c r="F1293" s="499" t="e">
        <f t="shared" ref="F1293:P1293" si="398">F1259+F1269+F1277+F1285</f>
        <v>#REF!</v>
      </c>
      <c r="G1293" s="499" t="e">
        <f t="shared" si="398"/>
        <v>#REF!</v>
      </c>
      <c r="H1293" s="499" t="e">
        <f t="shared" si="398"/>
        <v>#REF!</v>
      </c>
      <c r="I1293" s="499" t="e">
        <f t="shared" si="398"/>
        <v>#REF!</v>
      </c>
      <c r="J1293" s="499" t="e">
        <f t="shared" si="398"/>
        <v>#REF!</v>
      </c>
      <c r="K1293" s="499" t="e">
        <f t="shared" si="398"/>
        <v>#REF!</v>
      </c>
      <c r="L1293" s="499" t="e">
        <f t="shared" si="398"/>
        <v>#REF!</v>
      </c>
      <c r="M1293" s="499" t="e">
        <f t="shared" si="398"/>
        <v>#REF!</v>
      </c>
      <c r="N1293" s="499" t="e">
        <f t="shared" si="398"/>
        <v>#REF!</v>
      </c>
      <c r="O1293" s="499" t="e">
        <f t="shared" si="398"/>
        <v>#REF!</v>
      </c>
      <c r="P1293" s="499" t="e">
        <f t="shared" si="398"/>
        <v>#REF!</v>
      </c>
      <c r="Q1293" s="543" t="e">
        <f t="shared" ref="Q1293:Q1299" si="399">SUM(E1293:P1293)</f>
        <v>#REF!</v>
      </c>
    </row>
    <row r="1294" spans="3:17" x14ac:dyDescent="0.2">
      <c r="C1294" s="445"/>
      <c r="D1294" s="549" t="s">
        <v>340</v>
      </c>
      <c r="E1294" s="499">
        <f t="shared" ref="E1294:P1296" si="400">E1260+E1270+E1278+E1286</f>
        <v>0</v>
      </c>
      <c r="F1294" s="499">
        <f t="shared" si="400"/>
        <v>0</v>
      </c>
      <c r="G1294" s="499">
        <f t="shared" si="400"/>
        <v>0</v>
      </c>
      <c r="H1294" s="499">
        <f t="shared" si="400"/>
        <v>0</v>
      </c>
      <c r="I1294" s="499">
        <f t="shared" si="400"/>
        <v>0</v>
      </c>
      <c r="J1294" s="499">
        <f t="shared" si="400"/>
        <v>0</v>
      </c>
      <c r="K1294" s="499">
        <f t="shared" si="400"/>
        <v>0</v>
      </c>
      <c r="L1294" s="499">
        <f t="shared" si="400"/>
        <v>0</v>
      </c>
      <c r="M1294" s="499">
        <f t="shared" si="400"/>
        <v>0</v>
      </c>
      <c r="N1294" s="499">
        <f t="shared" si="400"/>
        <v>0</v>
      </c>
      <c r="O1294" s="499">
        <f t="shared" si="400"/>
        <v>0</v>
      </c>
      <c r="P1294" s="499">
        <f t="shared" si="400"/>
        <v>0</v>
      </c>
      <c r="Q1294" s="543">
        <f t="shared" si="399"/>
        <v>0</v>
      </c>
    </row>
    <row r="1295" spans="3:17" x14ac:dyDescent="0.2">
      <c r="C1295" s="445"/>
      <c r="D1295" s="549" t="s">
        <v>378</v>
      </c>
      <c r="E1295" s="499" t="e">
        <f t="shared" si="400"/>
        <v>#REF!</v>
      </c>
      <c r="F1295" s="499" t="e">
        <f t="shared" si="400"/>
        <v>#REF!</v>
      </c>
      <c r="G1295" s="499" t="e">
        <f t="shared" si="400"/>
        <v>#REF!</v>
      </c>
      <c r="H1295" s="499" t="e">
        <f t="shared" si="400"/>
        <v>#REF!</v>
      </c>
      <c r="I1295" s="499" t="e">
        <f t="shared" si="400"/>
        <v>#REF!</v>
      </c>
      <c r="J1295" s="499" t="e">
        <f t="shared" si="400"/>
        <v>#REF!</v>
      </c>
      <c r="K1295" s="499" t="e">
        <f t="shared" si="400"/>
        <v>#REF!</v>
      </c>
      <c r="L1295" s="499" t="e">
        <f t="shared" si="400"/>
        <v>#REF!</v>
      </c>
      <c r="M1295" s="499" t="e">
        <f t="shared" si="400"/>
        <v>#REF!</v>
      </c>
      <c r="N1295" s="499" t="e">
        <f t="shared" si="400"/>
        <v>#REF!</v>
      </c>
      <c r="O1295" s="499" t="e">
        <f t="shared" si="400"/>
        <v>#REF!</v>
      </c>
      <c r="P1295" s="499" t="e">
        <f t="shared" si="400"/>
        <v>#REF!</v>
      </c>
      <c r="Q1295" s="543" t="e">
        <f t="shared" si="399"/>
        <v>#REF!</v>
      </c>
    </row>
    <row r="1296" spans="3:17" x14ac:dyDescent="0.2">
      <c r="C1296" s="445"/>
      <c r="D1296" s="549" t="s">
        <v>344</v>
      </c>
      <c r="E1296" s="499" t="e">
        <f t="shared" si="400"/>
        <v>#REF!</v>
      </c>
      <c r="F1296" s="499" t="e">
        <f t="shared" si="400"/>
        <v>#REF!</v>
      </c>
      <c r="G1296" s="499" t="e">
        <f t="shared" si="400"/>
        <v>#REF!</v>
      </c>
      <c r="H1296" s="499" t="e">
        <f t="shared" si="400"/>
        <v>#REF!</v>
      </c>
      <c r="I1296" s="499" t="e">
        <f t="shared" si="400"/>
        <v>#REF!</v>
      </c>
      <c r="J1296" s="499" t="e">
        <f t="shared" si="400"/>
        <v>#REF!</v>
      </c>
      <c r="K1296" s="499" t="e">
        <f t="shared" si="400"/>
        <v>#REF!</v>
      </c>
      <c r="L1296" s="499" t="e">
        <f t="shared" si="400"/>
        <v>#REF!</v>
      </c>
      <c r="M1296" s="499" t="e">
        <f t="shared" si="400"/>
        <v>#REF!</v>
      </c>
      <c r="N1296" s="499" t="e">
        <f t="shared" si="400"/>
        <v>#REF!</v>
      </c>
      <c r="O1296" s="499" t="e">
        <f t="shared" si="400"/>
        <v>#REF!</v>
      </c>
      <c r="P1296" s="499" t="e">
        <f t="shared" si="400"/>
        <v>#REF!</v>
      </c>
      <c r="Q1296" s="543" t="e">
        <f t="shared" si="399"/>
        <v>#REF!</v>
      </c>
    </row>
    <row r="1297" spans="3:17" x14ac:dyDescent="0.2">
      <c r="C1297" s="445"/>
      <c r="D1297" s="445" t="s">
        <v>379</v>
      </c>
      <c r="E1297" s="499">
        <f>E1263</f>
        <v>68509.41</v>
      </c>
      <c r="F1297" s="499">
        <f t="shared" ref="F1297:P1297" si="401">F1263</f>
        <v>68636.37</v>
      </c>
      <c r="G1297" s="499">
        <f t="shared" si="401"/>
        <v>68683.98</v>
      </c>
      <c r="H1297" s="499">
        <f t="shared" si="401"/>
        <v>68670.179999999993</v>
      </c>
      <c r="I1297" s="499">
        <f t="shared" si="401"/>
        <v>68337.600000000006</v>
      </c>
      <c r="J1297" s="499">
        <f t="shared" si="401"/>
        <v>67684.86</v>
      </c>
      <c r="K1297" s="499">
        <f t="shared" si="401"/>
        <v>67094.91</v>
      </c>
      <c r="L1297" s="499">
        <f t="shared" si="401"/>
        <v>67355.73</v>
      </c>
      <c r="M1297" s="499">
        <f t="shared" si="401"/>
        <v>66915.509999999995</v>
      </c>
      <c r="N1297" s="499">
        <f t="shared" si="401"/>
        <v>66898.95</v>
      </c>
      <c r="O1297" s="499">
        <f t="shared" si="401"/>
        <v>67613.789999999994</v>
      </c>
      <c r="P1297" s="499">
        <f t="shared" si="401"/>
        <v>68258.25</v>
      </c>
      <c r="Q1297" s="543">
        <f t="shared" si="399"/>
        <v>814659.54</v>
      </c>
    </row>
    <row r="1298" spans="3:17" x14ac:dyDescent="0.2">
      <c r="C1298" s="445"/>
      <c r="D1298" s="445" t="s">
        <v>380</v>
      </c>
      <c r="E1298" s="499">
        <f>E1264+E1273+E1281+E1289</f>
        <v>52748.380000000012</v>
      </c>
      <c r="F1298" s="499">
        <f t="shared" ref="F1298:P1298" si="402">F1264+F1273+F1281+F1289</f>
        <v>51493.52</v>
      </c>
      <c r="G1298" s="499">
        <f t="shared" si="402"/>
        <v>37888.480000000003</v>
      </c>
      <c r="H1298" s="499">
        <f t="shared" si="402"/>
        <v>22367.719999999998</v>
      </c>
      <c r="I1298" s="499">
        <f t="shared" si="402"/>
        <v>11008.93</v>
      </c>
      <c r="J1298" s="499">
        <f t="shared" si="402"/>
        <v>6047.63</v>
      </c>
      <c r="K1298" s="499">
        <f t="shared" si="402"/>
        <v>4514.99</v>
      </c>
      <c r="L1298" s="499">
        <f t="shared" si="402"/>
        <v>4359.5000000000009</v>
      </c>
      <c r="M1298" s="499">
        <f t="shared" si="402"/>
        <v>4411.45</v>
      </c>
      <c r="N1298" s="499">
        <f t="shared" si="402"/>
        <v>6512.58</v>
      </c>
      <c r="O1298" s="499">
        <f t="shared" si="402"/>
        <v>15898.800000000001</v>
      </c>
      <c r="P1298" s="499">
        <f t="shared" si="402"/>
        <v>35412.589999999997</v>
      </c>
      <c r="Q1298" s="543">
        <f t="shared" si="399"/>
        <v>252664.56999999998</v>
      </c>
    </row>
    <row r="1299" spans="3:17" ht="12" x14ac:dyDescent="0.35">
      <c r="C1299" s="445"/>
      <c r="D1299" s="445" t="s">
        <v>381</v>
      </c>
      <c r="E1299" s="544">
        <f>E1265</f>
        <v>79514.850000000006</v>
      </c>
      <c r="F1299" s="544">
        <f t="shared" ref="F1299:P1299" si="403">F1265</f>
        <v>77081.759999999995</v>
      </c>
      <c r="G1299" s="544">
        <f t="shared" si="403"/>
        <v>57813.66</v>
      </c>
      <c r="H1299" s="544">
        <f t="shared" si="403"/>
        <v>32987.440000000002</v>
      </c>
      <c r="I1299" s="544">
        <f t="shared" si="403"/>
        <v>15508.65</v>
      </c>
      <c r="J1299" s="544">
        <f t="shared" si="403"/>
        <v>7397.5</v>
      </c>
      <c r="K1299" s="544">
        <f t="shared" si="403"/>
        <v>5309.12</v>
      </c>
      <c r="L1299" s="544">
        <f t="shared" si="403"/>
        <v>5130.66</v>
      </c>
      <c r="M1299" s="544">
        <f t="shared" si="403"/>
        <v>5308.7</v>
      </c>
      <c r="N1299" s="544">
        <f t="shared" si="403"/>
        <v>8464.52</v>
      </c>
      <c r="O1299" s="544">
        <f t="shared" si="403"/>
        <v>24389.98</v>
      </c>
      <c r="P1299" s="544">
        <f t="shared" si="403"/>
        <v>54103.55</v>
      </c>
      <c r="Q1299" s="545">
        <f t="shared" si="399"/>
        <v>373010.38999999996</v>
      </c>
    </row>
    <row r="1300" spans="3:17" x14ac:dyDescent="0.2">
      <c r="C1300" s="445"/>
      <c r="D1300" s="445"/>
      <c r="E1300" s="499" t="e">
        <f>SUM(E1293:E1299)</f>
        <v>#REF!</v>
      </c>
      <c r="F1300" s="499" t="e">
        <f t="shared" ref="F1300:Q1300" si="404">SUM(F1293:F1299)</f>
        <v>#REF!</v>
      </c>
      <c r="G1300" s="499" t="e">
        <f t="shared" si="404"/>
        <v>#REF!</v>
      </c>
      <c r="H1300" s="499" t="e">
        <f t="shared" si="404"/>
        <v>#REF!</v>
      </c>
      <c r="I1300" s="499" t="e">
        <f t="shared" si="404"/>
        <v>#REF!</v>
      </c>
      <c r="J1300" s="499" t="e">
        <f t="shared" si="404"/>
        <v>#REF!</v>
      </c>
      <c r="K1300" s="499" t="e">
        <f t="shared" si="404"/>
        <v>#REF!</v>
      </c>
      <c r="L1300" s="499" t="e">
        <f t="shared" si="404"/>
        <v>#REF!</v>
      </c>
      <c r="M1300" s="499" t="e">
        <f t="shared" si="404"/>
        <v>#REF!</v>
      </c>
      <c r="N1300" s="499" t="e">
        <f t="shared" si="404"/>
        <v>#REF!</v>
      </c>
      <c r="O1300" s="499" t="e">
        <f t="shared" si="404"/>
        <v>#REF!</v>
      </c>
      <c r="P1300" s="499" t="e">
        <f t="shared" si="404"/>
        <v>#REF!</v>
      </c>
      <c r="Q1300" s="543" t="e">
        <f t="shared" si="404"/>
        <v>#REF!</v>
      </c>
    </row>
    <row r="1301" spans="3:17" ht="10.8" thickBot="1" x14ac:dyDescent="0.25">
      <c r="C1301" s="445"/>
      <c r="D1301" s="452"/>
      <c r="E1301" s="551"/>
      <c r="F1301" s="551"/>
      <c r="G1301" s="551"/>
      <c r="H1301" s="551"/>
      <c r="I1301" s="551"/>
      <c r="J1301" s="551"/>
      <c r="K1301" s="551"/>
      <c r="L1301" s="551"/>
      <c r="M1301" s="551"/>
      <c r="N1301" s="551"/>
      <c r="O1301" s="551"/>
      <c r="P1301" s="551"/>
      <c r="Q1301" s="552"/>
    </row>
    <row r="1302" spans="3:17" x14ac:dyDescent="0.2">
      <c r="C1302" s="445"/>
      <c r="D1302" s="300"/>
      <c r="E1302" s="499"/>
      <c r="F1302" s="499"/>
      <c r="G1302" s="499"/>
      <c r="H1302" s="499"/>
      <c r="I1302" s="499"/>
      <c r="J1302" s="499"/>
      <c r="K1302" s="499"/>
      <c r="L1302" s="499"/>
      <c r="M1302" s="499"/>
      <c r="N1302" s="499"/>
      <c r="O1302" s="499"/>
      <c r="P1302" s="499"/>
      <c r="Q1302" s="543"/>
    </row>
    <row r="1303" spans="3:17" x14ac:dyDescent="0.2">
      <c r="C1303" s="445"/>
      <c r="D1303" s="494" t="s">
        <v>388</v>
      </c>
      <c r="E1303" s="301"/>
      <c r="F1303" s="415"/>
      <c r="G1303" s="435"/>
      <c r="H1303" s="415"/>
      <c r="I1303" s="436"/>
      <c r="J1303" s="415"/>
      <c r="K1303" s="415"/>
      <c r="L1303" s="415"/>
      <c r="M1303" s="415"/>
      <c r="N1303" s="415"/>
      <c r="O1303" s="415"/>
      <c r="P1303" s="415"/>
      <c r="Q1303" s="443"/>
    </row>
    <row r="1304" spans="3:17" x14ac:dyDescent="0.2">
      <c r="C1304" s="445"/>
      <c r="D1304" s="300" t="s">
        <v>341</v>
      </c>
      <c r="E1304" s="499">
        <f t="shared" ref="E1304:P1304" si="405">E823</f>
        <v>379520</v>
      </c>
      <c r="F1304" s="499">
        <f t="shared" si="405"/>
        <v>380560</v>
      </c>
      <c r="G1304" s="499">
        <f t="shared" si="405"/>
        <v>380576</v>
      </c>
      <c r="H1304" s="499">
        <f t="shared" si="405"/>
        <v>379104</v>
      </c>
      <c r="I1304" s="499">
        <f t="shared" si="405"/>
        <v>377792</v>
      </c>
      <c r="J1304" s="499">
        <f t="shared" si="405"/>
        <v>374176</v>
      </c>
      <c r="K1304" s="499">
        <f t="shared" si="405"/>
        <v>371808</v>
      </c>
      <c r="L1304" s="499">
        <f t="shared" si="405"/>
        <v>371568</v>
      </c>
      <c r="M1304" s="499">
        <f t="shared" si="405"/>
        <v>370864</v>
      </c>
      <c r="N1304" s="499">
        <f t="shared" si="405"/>
        <v>371008</v>
      </c>
      <c r="O1304" s="499">
        <f t="shared" si="405"/>
        <v>375328</v>
      </c>
      <c r="P1304" s="499">
        <f t="shared" si="405"/>
        <v>378832</v>
      </c>
      <c r="Q1304" s="543">
        <f>SUM(E1304:P1304)</f>
        <v>4511136</v>
      </c>
    </row>
    <row r="1305" spans="3:17" x14ac:dyDescent="0.2">
      <c r="C1305" s="445"/>
      <c r="D1305" s="300" t="s">
        <v>340</v>
      </c>
      <c r="E1305" s="499">
        <f t="shared" ref="E1305:P1305" si="406">E824</f>
        <v>0</v>
      </c>
      <c r="F1305" s="499">
        <f t="shared" si="406"/>
        <v>0</v>
      </c>
      <c r="G1305" s="499">
        <f t="shared" si="406"/>
        <v>0</v>
      </c>
      <c r="H1305" s="499">
        <f t="shared" si="406"/>
        <v>0</v>
      </c>
      <c r="I1305" s="499">
        <f t="shared" si="406"/>
        <v>0</v>
      </c>
      <c r="J1305" s="499">
        <f t="shared" si="406"/>
        <v>0</v>
      </c>
      <c r="K1305" s="499">
        <f t="shared" si="406"/>
        <v>0</v>
      </c>
      <c r="L1305" s="499">
        <f t="shared" si="406"/>
        <v>0</v>
      </c>
      <c r="M1305" s="499">
        <f t="shared" si="406"/>
        <v>0</v>
      </c>
      <c r="N1305" s="499">
        <f t="shared" si="406"/>
        <v>0</v>
      </c>
      <c r="O1305" s="499">
        <f t="shared" si="406"/>
        <v>0</v>
      </c>
      <c r="P1305" s="499">
        <f t="shared" si="406"/>
        <v>0</v>
      </c>
      <c r="Q1305" s="543">
        <f>SUM(E1305:P1305)</f>
        <v>0</v>
      </c>
    </row>
    <row r="1306" spans="3:17" x14ac:dyDescent="0.2">
      <c r="C1306" s="445"/>
      <c r="D1306" s="300" t="s">
        <v>378</v>
      </c>
      <c r="E1306" s="499">
        <f t="shared" ref="E1306:P1306" si="407">E827</f>
        <v>1307742.8</v>
      </c>
      <c r="F1306" s="499">
        <f t="shared" si="407"/>
        <v>1268223.1000000001</v>
      </c>
      <c r="G1306" s="499">
        <f t="shared" si="407"/>
        <v>952065.5</v>
      </c>
      <c r="H1306" s="499">
        <f t="shared" si="407"/>
        <v>542497.69999999995</v>
      </c>
      <c r="I1306" s="499">
        <f t="shared" si="407"/>
        <v>255081.7</v>
      </c>
      <c r="J1306" s="499">
        <f t="shared" si="407"/>
        <v>122151.8</v>
      </c>
      <c r="K1306" s="499">
        <f t="shared" si="407"/>
        <v>86224.8</v>
      </c>
      <c r="L1306" s="499">
        <f t="shared" si="407"/>
        <v>82632.100000000006</v>
      </c>
      <c r="M1306" s="499">
        <f t="shared" si="407"/>
        <v>89817.5</v>
      </c>
      <c r="N1306" s="499">
        <f t="shared" si="407"/>
        <v>140115.29999999999</v>
      </c>
      <c r="O1306" s="499">
        <f t="shared" si="407"/>
        <v>398789.7</v>
      </c>
      <c r="P1306" s="499">
        <f t="shared" si="407"/>
        <v>887396.9</v>
      </c>
      <c r="Q1306" s="543">
        <f>SUM(E1306:P1306)</f>
        <v>6132738.9000000004</v>
      </c>
    </row>
    <row r="1307" spans="3:17" x14ac:dyDescent="0.2">
      <c r="C1307" s="445"/>
      <c r="D1307" s="301" t="s">
        <v>379</v>
      </c>
      <c r="E1307" s="499">
        <f t="shared" ref="E1307:P1307" si="408">E836</f>
        <v>16366.8</v>
      </c>
      <c r="F1307" s="499">
        <f t="shared" si="408"/>
        <v>16411.650000000001</v>
      </c>
      <c r="G1307" s="499">
        <f t="shared" si="408"/>
        <v>16412.34</v>
      </c>
      <c r="H1307" s="499">
        <f t="shared" si="408"/>
        <v>16348.86</v>
      </c>
      <c r="I1307" s="499">
        <f t="shared" si="408"/>
        <v>16292.28</v>
      </c>
      <c r="J1307" s="499">
        <f t="shared" si="408"/>
        <v>16136.34</v>
      </c>
      <c r="K1307" s="499">
        <f t="shared" si="408"/>
        <v>16034.22</v>
      </c>
      <c r="L1307" s="499">
        <f t="shared" si="408"/>
        <v>16023.87</v>
      </c>
      <c r="M1307" s="499">
        <f t="shared" si="408"/>
        <v>15993.51</v>
      </c>
      <c r="N1307" s="499">
        <f t="shared" si="408"/>
        <v>15999.72</v>
      </c>
      <c r="O1307" s="499">
        <f t="shared" si="408"/>
        <v>16186.02</v>
      </c>
      <c r="P1307" s="499">
        <f t="shared" si="408"/>
        <v>16337.13</v>
      </c>
      <c r="Q1307" s="543">
        <f>SUM(E1307:P1307)</f>
        <v>194542.74</v>
      </c>
    </row>
    <row r="1308" spans="3:17" ht="12" x14ac:dyDescent="0.35">
      <c r="C1308" s="445"/>
      <c r="D1308" s="301" t="s">
        <v>381</v>
      </c>
      <c r="E1308" s="544">
        <f t="shared" ref="E1308:P1308" si="409">E837</f>
        <v>21730.799999999999</v>
      </c>
      <c r="F1308" s="544">
        <f t="shared" si="409"/>
        <v>21074.1</v>
      </c>
      <c r="G1308" s="544">
        <f t="shared" si="409"/>
        <v>15820.5</v>
      </c>
      <c r="H1308" s="544">
        <f t="shared" si="409"/>
        <v>9014.7000000000007</v>
      </c>
      <c r="I1308" s="544">
        <f t="shared" si="409"/>
        <v>4238.7</v>
      </c>
      <c r="J1308" s="544">
        <f t="shared" si="409"/>
        <v>2029.8</v>
      </c>
      <c r="K1308" s="544">
        <f t="shared" si="409"/>
        <v>1432.8</v>
      </c>
      <c r="L1308" s="544">
        <f t="shared" si="409"/>
        <v>1373.1</v>
      </c>
      <c r="M1308" s="544">
        <f t="shared" si="409"/>
        <v>1492.5</v>
      </c>
      <c r="N1308" s="544">
        <f t="shared" si="409"/>
        <v>2328.3000000000002</v>
      </c>
      <c r="O1308" s="544">
        <f t="shared" si="409"/>
        <v>6626.7</v>
      </c>
      <c r="P1308" s="544">
        <f t="shared" si="409"/>
        <v>14745.9</v>
      </c>
      <c r="Q1308" s="545">
        <f>SUM(E1308:P1308)</f>
        <v>101907.9</v>
      </c>
    </row>
    <row r="1309" spans="3:17" x14ac:dyDescent="0.2">
      <c r="C1309" s="445"/>
      <c r="D1309" s="301"/>
      <c r="E1309" s="499">
        <f t="shared" ref="E1309:Q1309" si="410">SUM(E1304:E1308)</f>
        <v>1725360.4000000001</v>
      </c>
      <c r="F1309" s="499">
        <f t="shared" si="410"/>
        <v>1686268.85</v>
      </c>
      <c r="G1309" s="499">
        <f t="shared" si="410"/>
        <v>1364874.34</v>
      </c>
      <c r="H1309" s="499">
        <f t="shared" si="410"/>
        <v>946965.25999999989</v>
      </c>
      <c r="I1309" s="499">
        <f t="shared" si="410"/>
        <v>653404.67999999993</v>
      </c>
      <c r="J1309" s="499">
        <f t="shared" si="410"/>
        <v>514493.94</v>
      </c>
      <c r="K1309" s="499">
        <f t="shared" si="410"/>
        <v>475499.81999999995</v>
      </c>
      <c r="L1309" s="499">
        <f t="shared" si="410"/>
        <v>471597.06999999995</v>
      </c>
      <c r="M1309" s="499">
        <f t="shared" si="410"/>
        <v>478167.51</v>
      </c>
      <c r="N1309" s="499">
        <f t="shared" si="410"/>
        <v>529451.32000000007</v>
      </c>
      <c r="O1309" s="499">
        <f t="shared" si="410"/>
        <v>796930.41999999993</v>
      </c>
      <c r="P1309" s="499">
        <f t="shared" si="410"/>
        <v>1297311.9299999997</v>
      </c>
      <c r="Q1309" s="543">
        <f t="shared" si="410"/>
        <v>10940325.540000001</v>
      </c>
    </row>
    <row r="1310" spans="3:17" x14ac:dyDescent="0.2">
      <c r="C1310" s="445"/>
      <c r="D1310" s="300"/>
      <c r="E1310" s="499"/>
      <c r="F1310" s="499"/>
      <c r="G1310" s="499"/>
      <c r="H1310" s="499"/>
      <c r="I1310" s="499"/>
      <c r="J1310" s="499"/>
      <c r="K1310" s="499"/>
      <c r="L1310" s="499"/>
      <c r="M1310" s="499"/>
      <c r="N1310" s="499"/>
      <c r="O1310" s="499"/>
      <c r="P1310" s="499"/>
      <c r="Q1310" s="543"/>
    </row>
    <row r="1311" spans="3:17" x14ac:dyDescent="0.2">
      <c r="C1311" s="445"/>
      <c r="D1311" s="494" t="s">
        <v>387</v>
      </c>
      <c r="E1311" s="301"/>
      <c r="F1311" s="415"/>
      <c r="G1311" s="435"/>
      <c r="H1311" s="415"/>
      <c r="I1311" s="436"/>
      <c r="J1311" s="415"/>
      <c r="K1311" s="415"/>
      <c r="L1311" s="415"/>
      <c r="M1311" s="415"/>
      <c r="N1311" s="415"/>
      <c r="O1311" s="415"/>
      <c r="P1311" s="415"/>
      <c r="Q1311" s="443"/>
    </row>
    <row r="1312" spans="3:17" x14ac:dyDescent="0.2">
      <c r="C1312" s="445"/>
      <c r="D1312" s="300" t="s">
        <v>341</v>
      </c>
      <c r="E1312" s="499">
        <f t="shared" ref="E1312:P1312" si="411">E848++E936+E937+E1006+E1007+E1097+E1098+E1115+E1116+E1208+E1209</f>
        <v>256424.71000000002</v>
      </c>
      <c r="F1312" s="499">
        <f t="shared" si="411"/>
        <v>237110.39</v>
      </c>
      <c r="G1312" s="499">
        <f t="shared" si="411"/>
        <v>249802.35000000003</v>
      </c>
      <c r="H1312" s="499">
        <f t="shared" si="411"/>
        <v>249266.07000000004</v>
      </c>
      <c r="I1312" s="499">
        <f t="shared" si="411"/>
        <v>248238.2</v>
      </c>
      <c r="J1312" s="499">
        <f t="shared" si="411"/>
        <v>247523.16000000003</v>
      </c>
      <c r="K1312" s="499">
        <f t="shared" si="411"/>
        <v>250375.22000000003</v>
      </c>
      <c r="L1312" s="499">
        <f t="shared" si="411"/>
        <v>245686.82000000004</v>
      </c>
      <c r="M1312" s="499">
        <f t="shared" si="411"/>
        <v>244256.74000000002</v>
      </c>
      <c r="N1312" s="499">
        <f t="shared" si="411"/>
        <v>243139.49000000002</v>
      </c>
      <c r="O1312" s="499">
        <f t="shared" si="411"/>
        <v>244208.00000000003</v>
      </c>
      <c r="P1312" s="499">
        <f t="shared" si="411"/>
        <v>295272.75000000006</v>
      </c>
      <c r="Q1312" s="543">
        <f>SUM(E1312:P1312)</f>
        <v>3011303.9000000008</v>
      </c>
    </row>
    <row r="1313" spans="3:17" x14ac:dyDescent="0.2">
      <c r="C1313" s="445"/>
      <c r="D1313" s="300" t="s">
        <v>340</v>
      </c>
      <c r="E1313" s="499">
        <f t="shared" ref="E1313:P1313" si="412">E849+E938++E1008+E1210</f>
        <v>0</v>
      </c>
      <c r="F1313" s="499">
        <f t="shared" si="412"/>
        <v>0</v>
      </c>
      <c r="G1313" s="499">
        <f t="shared" si="412"/>
        <v>0</v>
      </c>
      <c r="H1313" s="499">
        <f t="shared" si="412"/>
        <v>0</v>
      </c>
      <c r="I1313" s="499">
        <f t="shared" si="412"/>
        <v>0</v>
      </c>
      <c r="J1313" s="499">
        <f t="shared" si="412"/>
        <v>0</v>
      </c>
      <c r="K1313" s="499">
        <f t="shared" si="412"/>
        <v>0</v>
      </c>
      <c r="L1313" s="499">
        <f t="shared" si="412"/>
        <v>0</v>
      </c>
      <c r="M1313" s="499">
        <f t="shared" si="412"/>
        <v>0</v>
      </c>
      <c r="N1313" s="499">
        <f t="shared" si="412"/>
        <v>0</v>
      </c>
      <c r="O1313" s="499">
        <f t="shared" si="412"/>
        <v>0</v>
      </c>
      <c r="P1313" s="499">
        <f t="shared" si="412"/>
        <v>0</v>
      </c>
      <c r="Q1313" s="543">
        <f>SUM(E1313:P1313)</f>
        <v>0</v>
      </c>
    </row>
    <row r="1314" spans="3:17" ht="12" x14ac:dyDescent="0.35">
      <c r="C1314" s="445"/>
      <c r="D1314" s="300" t="s">
        <v>378</v>
      </c>
      <c r="E1314" s="544">
        <f t="shared" ref="E1314:P1314" si="413">E862++E949+E1021+E1101+E1119+E1219</f>
        <v>1044190.3800000002</v>
      </c>
      <c r="F1314" s="544">
        <f t="shared" si="413"/>
        <v>1008989.1499999999</v>
      </c>
      <c r="G1314" s="544">
        <f t="shared" si="413"/>
        <v>803387.90999999992</v>
      </c>
      <c r="H1314" s="544">
        <f t="shared" si="413"/>
        <v>546758.22999999986</v>
      </c>
      <c r="I1314" s="544">
        <f t="shared" si="413"/>
        <v>371676.28</v>
      </c>
      <c r="J1314" s="544">
        <f t="shared" si="413"/>
        <v>290189.86000000004</v>
      </c>
      <c r="K1314" s="544">
        <f t="shared" si="413"/>
        <v>272420.58</v>
      </c>
      <c r="L1314" s="544">
        <f t="shared" si="413"/>
        <v>264187.3</v>
      </c>
      <c r="M1314" s="544">
        <f t="shared" si="413"/>
        <v>285846.75</v>
      </c>
      <c r="N1314" s="544">
        <f t="shared" si="413"/>
        <v>370579.38</v>
      </c>
      <c r="O1314" s="544">
        <f t="shared" si="413"/>
        <v>537563.66999999993</v>
      </c>
      <c r="P1314" s="544">
        <f t="shared" si="413"/>
        <v>800877.10000000009</v>
      </c>
      <c r="Q1314" s="545">
        <f>SUM(E1314:P1314)</f>
        <v>6596666.5899999999</v>
      </c>
    </row>
    <row r="1315" spans="3:17" x14ac:dyDescent="0.2">
      <c r="C1315" s="445"/>
      <c r="D1315" s="301"/>
      <c r="E1315" s="499">
        <f>SUM(E1312:E1314)</f>
        <v>1300615.0900000003</v>
      </c>
      <c r="F1315" s="499">
        <f t="shared" ref="F1315:Q1315" si="414">SUM(F1312:F1314)</f>
        <v>1246099.54</v>
      </c>
      <c r="G1315" s="499">
        <f t="shared" si="414"/>
        <v>1053190.26</v>
      </c>
      <c r="H1315" s="499">
        <f t="shared" si="414"/>
        <v>796024.29999999993</v>
      </c>
      <c r="I1315" s="499">
        <f t="shared" si="414"/>
        <v>619914.48</v>
      </c>
      <c r="J1315" s="499">
        <f t="shared" si="414"/>
        <v>537713.02</v>
      </c>
      <c r="K1315" s="499">
        <f t="shared" si="414"/>
        <v>522795.80000000005</v>
      </c>
      <c r="L1315" s="499">
        <f t="shared" si="414"/>
        <v>509874.12</v>
      </c>
      <c r="M1315" s="499">
        <f t="shared" si="414"/>
        <v>530103.49</v>
      </c>
      <c r="N1315" s="499">
        <f t="shared" si="414"/>
        <v>613718.87</v>
      </c>
      <c r="O1315" s="499">
        <f t="shared" si="414"/>
        <v>781771.66999999993</v>
      </c>
      <c r="P1315" s="499">
        <f t="shared" si="414"/>
        <v>1096149.8500000001</v>
      </c>
      <c r="Q1315" s="543">
        <f t="shared" si="414"/>
        <v>9607970.4900000002</v>
      </c>
    </row>
    <row r="1316" spans="3:17" x14ac:dyDescent="0.2">
      <c r="C1316" s="445"/>
      <c r="D1316" s="300"/>
      <c r="E1316" s="499"/>
      <c r="F1316" s="499"/>
      <c r="G1316" s="499"/>
      <c r="H1316" s="499"/>
      <c r="I1316" s="499"/>
      <c r="J1316" s="499"/>
      <c r="K1316" s="499"/>
      <c r="L1316" s="499"/>
      <c r="M1316" s="499"/>
      <c r="N1316" s="499"/>
      <c r="O1316" s="499"/>
      <c r="P1316" s="499"/>
      <c r="Q1316" s="543"/>
    </row>
    <row r="1317" spans="3:17" x14ac:dyDescent="0.2">
      <c r="C1317" s="445"/>
      <c r="D1317" s="494" t="s">
        <v>389</v>
      </c>
      <c r="E1317" s="301"/>
      <c r="F1317" s="415"/>
      <c r="G1317" s="435"/>
      <c r="H1317" s="415"/>
      <c r="I1317" s="436"/>
      <c r="J1317" s="415"/>
      <c r="K1317" s="415"/>
      <c r="L1317" s="415"/>
      <c r="M1317" s="415"/>
      <c r="N1317" s="415"/>
      <c r="O1317" s="415"/>
      <c r="P1317" s="415"/>
      <c r="Q1317" s="443"/>
    </row>
    <row r="1318" spans="3:17" x14ac:dyDescent="0.2">
      <c r="C1318" s="445"/>
      <c r="D1318" s="300" t="s">
        <v>341</v>
      </c>
      <c r="E1318" s="499">
        <f t="shared" ref="E1318:P1318" si="415">E892+E963+E964+E1034+E1035+E1079+E1080+E1149+E1150+E1167+E1168+E1233+E1234</f>
        <v>83185.62</v>
      </c>
      <c r="F1318" s="499">
        <f t="shared" si="415"/>
        <v>83185.62</v>
      </c>
      <c r="G1318" s="499">
        <f t="shared" si="415"/>
        <v>83140.929999999993</v>
      </c>
      <c r="H1318" s="499">
        <f t="shared" si="415"/>
        <v>83185.62</v>
      </c>
      <c r="I1318" s="499">
        <f t="shared" si="415"/>
        <v>83140.929999999993</v>
      </c>
      <c r="J1318" s="499">
        <f t="shared" si="415"/>
        <v>83140.929999999993</v>
      </c>
      <c r="K1318" s="499">
        <f t="shared" si="415"/>
        <v>83140.929999999993</v>
      </c>
      <c r="L1318" s="499">
        <f t="shared" si="415"/>
        <v>83140.929999999993</v>
      </c>
      <c r="M1318" s="499">
        <f t="shared" si="415"/>
        <v>83140.929999999993</v>
      </c>
      <c r="N1318" s="499">
        <f t="shared" si="415"/>
        <v>83140.929999999993</v>
      </c>
      <c r="O1318" s="499">
        <f t="shared" si="415"/>
        <v>83185.62</v>
      </c>
      <c r="P1318" s="499">
        <f t="shared" si="415"/>
        <v>83185.62</v>
      </c>
      <c r="Q1318" s="543">
        <f>SUM(E1318:P1318)</f>
        <v>997914.60999999987</v>
      </c>
    </row>
    <row r="1319" spans="3:17" x14ac:dyDescent="0.2">
      <c r="C1319" s="445"/>
      <c r="D1319" s="300" t="s">
        <v>340</v>
      </c>
      <c r="E1319" s="499">
        <f t="shared" ref="E1319:P1319" si="416">E893+E965+E1036</f>
        <v>0</v>
      </c>
      <c r="F1319" s="499">
        <f t="shared" si="416"/>
        <v>0</v>
      </c>
      <c r="G1319" s="499">
        <f t="shared" si="416"/>
        <v>0</v>
      </c>
      <c r="H1319" s="499">
        <f t="shared" si="416"/>
        <v>0</v>
      </c>
      <c r="I1319" s="499">
        <f t="shared" si="416"/>
        <v>0</v>
      </c>
      <c r="J1319" s="499">
        <f t="shared" si="416"/>
        <v>0</v>
      </c>
      <c r="K1319" s="499">
        <f t="shared" si="416"/>
        <v>0</v>
      </c>
      <c r="L1319" s="499">
        <f t="shared" si="416"/>
        <v>0</v>
      </c>
      <c r="M1319" s="499">
        <f t="shared" si="416"/>
        <v>0</v>
      </c>
      <c r="N1319" s="499">
        <f t="shared" si="416"/>
        <v>0</v>
      </c>
      <c r="O1319" s="499">
        <f t="shared" si="416"/>
        <v>0</v>
      </c>
      <c r="P1319" s="499">
        <f t="shared" si="416"/>
        <v>0</v>
      </c>
      <c r="Q1319" s="543">
        <f>SUM(E1319:P1319)</f>
        <v>0</v>
      </c>
    </row>
    <row r="1320" spans="3:17" ht="12" x14ac:dyDescent="0.35">
      <c r="C1320" s="445"/>
      <c r="D1320" s="300" t="s">
        <v>378</v>
      </c>
      <c r="E1320" s="544">
        <f t="shared" ref="E1320:P1320" si="417">E906+E976+E1049+E1083++E1153+E1177+E1243</f>
        <v>496117.4</v>
      </c>
      <c r="F1320" s="544">
        <f t="shared" si="417"/>
        <v>451961.25</v>
      </c>
      <c r="G1320" s="544">
        <f t="shared" si="417"/>
        <v>422544.90999999992</v>
      </c>
      <c r="H1320" s="544">
        <f t="shared" si="417"/>
        <v>368955.7</v>
      </c>
      <c r="I1320" s="544">
        <f t="shared" si="417"/>
        <v>338899.03</v>
      </c>
      <c r="J1320" s="544">
        <f t="shared" si="417"/>
        <v>314117.33999999997</v>
      </c>
      <c r="K1320" s="544">
        <f t="shared" si="417"/>
        <v>289886.75</v>
      </c>
      <c r="L1320" s="544">
        <f t="shared" si="417"/>
        <v>316230.60000000003</v>
      </c>
      <c r="M1320" s="544">
        <f t="shared" si="417"/>
        <v>334330.22000000003</v>
      </c>
      <c r="N1320" s="544">
        <f t="shared" si="417"/>
        <v>382063.22000000003</v>
      </c>
      <c r="O1320" s="544">
        <f t="shared" si="417"/>
        <v>426525.85</v>
      </c>
      <c r="P1320" s="544">
        <f t="shared" si="417"/>
        <v>444885.23000000004</v>
      </c>
      <c r="Q1320" s="545">
        <f>SUM(E1320:P1320)</f>
        <v>4586517.5000000009</v>
      </c>
    </row>
    <row r="1321" spans="3:17" x14ac:dyDescent="0.2">
      <c r="C1321" s="445"/>
      <c r="D1321" s="301"/>
      <c r="E1321" s="499">
        <f>SUM(E1318:E1320)</f>
        <v>579303.02</v>
      </c>
      <c r="F1321" s="499">
        <f t="shared" ref="F1321:Q1321" si="418">SUM(F1318:F1320)</f>
        <v>535146.87</v>
      </c>
      <c r="G1321" s="499">
        <f t="shared" si="418"/>
        <v>505685.83999999991</v>
      </c>
      <c r="H1321" s="499">
        <f t="shared" si="418"/>
        <v>452141.32</v>
      </c>
      <c r="I1321" s="499">
        <f t="shared" si="418"/>
        <v>422039.96</v>
      </c>
      <c r="J1321" s="499">
        <f t="shared" si="418"/>
        <v>397258.26999999996</v>
      </c>
      <c r="K1321" s="499">
        <f t="shared" si="418"/>
        <v>373027.68</v>
      </c>
      <c r="L1321" s="499">
        <f t="shared" si="418"/>
        <v>399371.53</v>
      </c>
      <c r="M1321" s="499">
        <f t="shared" si="418"/>
        <v>417471.15</v>
      </c>
      <c r="N1321" s="499">
        <f t="shared" si="418"/>
        <v>465204.15</v>
      </c>
      <c r="O1321" s="499">
        <f t="shared" si="418"/>
        <v>509711.47</v>
      </c>
      <c r="P1321" s="499">
        <f t="shared" si="418"/>
        <v>528070.85000000009</v>
      </c>
      <c r="Q1321" s="543">
        <f t="shared" si="418"/>
        <v>5584432.1100000013</v>
      </c>
    </row>
    <row r="1322" spans="3:17" ht="10.8" thickBot="1" x14ac:dyDescent="0.25">
      <c r="C1322" s="445"/>
      <c r="D1322" s="300"/>
      <c r="E1322" s="499"/>
      <c r="F1322" s="499"/>
      <c r="G1322" s="499"/>
      <c r="H1322" s="499"/>
      <c r="I1322" s="499"/>
      <c r="J1322" s="499"/>
      <c r="K1322" s="499"/>
      <c r="L1322" s="499"/>
      <c r="M1322" s="499"/>
      <c r="N1322" s="499"/>
      <c r="O1322" s="499"/>
      <c r="P1322" s="499"/>
      <c r="Q1322" s="543"/>
    </row>
    <row r="1323" spans="3:17" x14ac:dyDescent="0.2">
      <c r="C1323" s="445"/>
      <c r="D1323" s="546" t="s">
        <v>18</v>
      </c>
      <c r="E1323" s="440"/>
      <c r="F1323" s="540"/>
      <c r="G1323" s="541"/>
      <c r="H1323" s="540"/>
      <c r="I1323" s="542"/>
      <c r="J1323" s="540"/>
      <c r="K1323" s="540"/>
      <c r="L1323" s="540"/>
      <c r="M1323" s="540"/>
      <c r="N1323" s="540"/>
      <c r="O1323" s="540"/>
      <c r="P1323" s="540"/>
      <c r="Q1323" s="441"/>
    </row>
    <row r="1324" spans="3:17" x14ac:dyDescent="0.2">
      <c r="C1324" s="445"/>
      <c r="D1324" s="549" t="s">
        <v>341</v>
      </c>
      <c r="E1324" s="499">
        <f>E1304+E1312+E1318</f>
        <v>719130.33</v>
      </c>
      <c r="F1324" s="499">
        <f t="shared" ref="F1324:P1324" si="419">F1304+F1312+F1318</f>
        <v>700856.01</v>
      </c>
      <c r="G1324" s="499">
        <f t="shared" si="419"/>
        <v>713519.28</v>
      </c>
      <c r="H1324" s="499">
        <f t="shared" si="419"/>
        <v>711555.69000000006</v>
      </c>
      <c r="I1324" s="499">
        <f t="shared" si="419"/>
        <v>709171.12999999989</v>
      </c>
      <c r="J1324" s="499">
        <f t="shared" si="419"/>
        <v>704840.09000000008</v>
      </c>
      <c r="K1324" s="499">
        <f t="shared" si="419"/>
        <v>705324.14999999991</v>
      </c>
      <c r="L1324" s="499">
        <f t="shared" si="419"/>
        <v>700395.75</v>
      </c>
      <c r="M1324" s="499">
        <f t="shared" si="419"/>
        <v>698261.66999999993</v>
      </c>
      <c r="N1324" s="499">
        <f t="shared" si="419"/>
        <v>697288.41999999993</v>
      </c>
      <c r="O1324" s="499">
        <f t="shared" si="419"/>
        <v>702721.62</v>
      </c>
      <c r="P1324" s="499">
        <f t="shared" si="419"/>
        <v>757290.37</v>
      </c>
      <c r="Q1324" s="543">
        <f>SUM(E1324:P1324)</f>
        <v>8520354.5099999998</v>
      </c>
    </row>
    <row r="1325" spans="3:17" x14ac:dyDescent="0.2">
      <c r="C1325" s="445"/>
      <c r="D1325" s="549" t="s">
        <v>340</v>
      </c>
      <c r="E1325" s="499">
        <f t="shared" ref="E1325:P1326" si="420">E1305+E1313+E1319</f>
        <v>0</v>
      </c>
      <c r="F1325" s="499">
        <f t="shared" si="420"/>
        <v>0</v>
      </c>
      <c r="G1325" s="499">
        <f t="shared" si="420"/>
        <v>0</v>
      </c>
      <c r="H1325" s="499">
        <f t="shared" si="420"/>
        <v>0</v>
      </c>
      <c r="I1325" s="499">
        <f t="shared" si="420"/>
        <v>0</v>
      </c>
      <c r="J1325" s="499">
        <f t="shared" si="420"/>
        <v>0</v>
      </c>
      <c r="K1325" s="499">
        <f t="shared" si="420"/>
        <v>0</v>
      </c>
      <c r="L1325" s="499">
        <f t="shared" si="420"/>
        <v>0</v>
      </c>
      <c r="M1325" s="499">
        <f t="shared" si="420"/>
        <v>0</v>
      </c>
      <c r="N1325" s="499">
        <f t="shared" si="420"/>
        <v>0</v>
      </c>
      <c r="O1325" s="499">
        <f t="shared" si="420"/>
        <v>0</v>
      </c>
      <c r="P1325" s="499">
        <f t="shared" si="420"/>
        <v>0</v>
      </c>
      <c r="Q1325" s="543">
        <f>SUM(E1325:P1325)</f>
        <v>0</v>
      </c>
    </row>
    <row r="1326" spans="3:17" x14ac:dyDescent="0.2">
      <c r="C1326" s="445"/>
      <c r="D1326" s="549" t="s">
        <v>378</v>
      </c>
      <c r="E1326" s="499">
        <f t="shared" si="420"/>
        <v>2848050.58</v>
      </c>
      <c r="F1326" s="499">
        <f t="shared" si="420"/>
        <v>2729173.5</v>
      </c>
      <c r="G1326" s="499">
        <f t="shared" si="420"/>
        <v>2177998.3199999998</v>
      </c>
      <c r="H1326" s="499">
        <f t="shared" si="420"/>
        <v>1458211.6299999997</v>
      </c>
      <c r="I1326" s="499">
        <f t="shared" si="420"/>
        <v>965657.01</v>
      </c>
      <c r="J1326" s="499">
        <f t="shared" si="420"/>
        <v>726459</v>
      </c>
      <c r="K1326" s="499">
        <f t="shared" si="420"/>
        <v>648532.13</v>
      </c>
      <c r="L1326" s="499">
        <f t="shared" si="420"/>
        <v>663050</v>
      </c>
      <c r="M1326" s="499">
        <f t="shared" si="420"/>
        <v>709994.47</v>
      </c>
      <c r="N1326" s="499">
        <f t="shared" si="420"/>
        <v>892757.9</v>
      </c>
      <c r="O1326" s="499">
        <f t="shared" si="420"/>
        <v>1362879.2199999997</v>
      </c>
      <c r="P1326" s="499">
        <f t="shared" si="420"/>
        <v>2133159.23</v>
      </c>
      <c r="Q1326" s="543">
        <f>SUM(E1326:P1326)</f>
        <v>17315922.990000002</v>
      </c>
    </row>
    <row r="1327" spans="3:17" x14ac:dyDescent="0.2">
      <c r="C1327" s="445"/>
      <c r="D1327" s="445" t="s">
        <v>379</v>
      </c>
      <c r="E1327" s="499">
        <f>E1307</f>
        <v>16366.8</v>
      </c>
      <c r="F1327" s="499">
        <f t="shared" ref="F1327:P1328" si="421">F1307</f>
        <v>16411.650000000001</v>
      </c>
      <c r="G1327" s="499">
        <f t="shared" si="421"/>
        <v>16412.34</v>
      </c>
      <c r="H1327" s="499">
        <f t="shared" si="421"/>
        <v>16348.86</v>
      </c>
      <c r="I1327" s="499">
        <f t="shared" si="421"/>
        <v>16292.28</v>
      </c>
      <c r="J1327" s="499">
        <f t="shared" si="421"/>
        <v>16136.34</v>
      </c>
      <c r="K1327" s="499">
        <f t="shared" si="421"/>
        <v>16034.22</v>
      </c>
      <c r="L1327" s="499">
        <f t="shared" si="421"/>
        <v>16023.87</v>
      </c>
      <c r="M1327" s="499">
        <f t="shared" si="421"/>
        <v>15993.51</v>
      </c>
      <c r="N1327" s="499">
        <f t="shared" si="421"/>
        <v>15999.72</v>
      </c>
      <c r="O1327" s="499">
        <f t="shared" si="421"/>
        <v>16186.02</v>
      </c>
      <c r="P1327" s="499">
        <f t="shared" si="421"/>
        <v>16337.13</v>
      </c>
      <c r="Q1327" s="543">
        <f>SUM(E1327:P1327)</f>
        <v>194542.74</v>
      </c>
    </row>
    <row r="1328" spans="3:17" ht="12" x14ac:dyDescent="0.35">
      <c r="C1328" s="445"/>
      <c r="D1328" s="445" t="s">
        <v>381</v>
      </c>
      <c r="E1328" s="544">
        <f>E1308</f>
        <v>21730.799999999999</v>
      </c>
      <c r="F1328" s="544">
        <f t="shared" si="421"/>
        <v>21074.1</v>
      </c>
      <c r="G1328" s="544">
        <f t="shared" si="421"/>
        <v>15820.5</v>
      </c>
      <c r="H1328" s="544">
        <f t="shared" si="421"/>
        <v>9014.7000000000007</v>
      </c>
      <c r="I1328" s="544">
        <f t="shared" si="421"/>
        <v>4238.7</v>
      </c>
      <c r="J1328" s="544">
        <f t="shared" si="421"/>
        <v>2029.8</v>
      </c>
      <c r="K1328" s="544">
        <f t="shared" si="421"/>
        <v>1432.8</v>
      </c>
      <c r="L1328" s="544">
        <f t="shared" si="421"/>
        <v>1373.1</v>
      </c>
      <c r="M1328" s="544">
        <f t="shared" si="421"/>
        <v>1492.5</v>
      </c>
      <c r="N1328" s="544">
        <f t="shared" si="421"/>
        <v>2328.3000000000002</v>
      </c>
      <c r="O1328" s="544">
        <f t="shared" si="421"/>
        <v>6626.7</v>
      </c>
      <c r="P1328" s="544">
        <f t="shared" si="421"/>
        <v>14745.9</v>
      </c>
      <c r="Q1328" s="545">
        <f>SUM(E1328:P1328)</f>
        <v>101907.9</v>
      </c>
    </row>
    <row r="1329" spans="3:17" x14ac:dyDescent="0.2">
      <c r="C1329" s="445"/>
      <c r="D1329" s="445"/>
      <c r="E1329" s="499">
        <f t="shared" ref="E1329:Q1329" si="422">SUM(E1324:E1328)</f>
        <v>3605278.51</v>
      </c>
      <c r="F1329" s="499">
        <f t="shared" si="422"/>
        <v>3467515.26</v>
      </c>
      <c r="G1329" s="499">
        <f t="shared" si="422"/>
        <v>2923750.4399999995</v>
      </c>
      <c r="H1329" s="499">
        <f t="shared" si="422"/>
        <v>2195130.88</v>
      </c>
      <c r="I1329" s="499">
        <f t="shared" si="422"/>
        <v>1695359.1199999999</v>
      </c>
      <c r="J1329" s="499">
        <f t="shared" si="422"/>
        <v>1449465.2300000002</v>
      </c>
      <c r="K1329" s="499">
        <f t="shared" si="422"/>
        <v>1371323.2999999998</v>
      </c>
      <c r="L1329" s="499">
        <f t="shared" si="422"/>
        <v>1380842.7200000002</v>
      </c>
      <c r="M1329" s="499">
        <f t="shared" si="422"/>
        <v>1425742.15</v>
      </c>
      <c r="N1329" s="499">
        <f t="shared" si="422"/>
        <v>1608374.3399999999</v>
      </c>
      <c r="O1329" s="499">
        <f t="shared" si="422"/>
        <v>2088413.5599999998</v>
      </c>
      <c r="P1329" s="499">
        <f t="shared" si="422"/>
        <v>2921532.63</v>
      </c>
      <c r="Q1329" s="543">
        <f t="shared" si="422"/>
        <v>26132728.139999997</v>
      </c>
    </row>
    <row r="1330" spans="3:17" x14ac:dyDescent="0.2">
      <c r="C1330" s="445"/>
      <c r="D1330" s="445"/>
      <c r="E1330" s="499"/>
      <c r="F1330" s="499"/>
      <c r="G1330" s="499"/>
      <c r="H1330" s="499"/>
      <c r="I1330" s="499"/>
      <c r="J1330" s="499"/>
      <c r="K1330" s="499"/>
      <c r="L1330" s="499"/>
      <c r="M1330" s="499"/>
      <c r="N1330" s="499"/>
      <c r="O1330" s="499"/>
      <c r="P1330" s="499"/>
      <c r="Q1330" s="543"/>
    </row>
    <row r="1331" spans="3:17" ht="10.8" thickBot="1" x14ac:dyDescent="0.25">
      <c r="C1331" s="445"/>
      <c r="D1331" s="452"/>
      <c r="E1331" s="551"/>
      <c r="F1331" s="551"/>
      <c r="G1331" s="551"/>
      <c r="H1331" s="551"/>
      <c r="I1331" s="551"/>
      <c r="J1331" s="551"/>
      <c r="K1331" s="551"/>
      <c r="L1331" s="551"/>
      <c r="M1331" s="551"/>
      <c r="N1331" s="551"/>
      <c r="O1331" s="551"/>
      <c r="P1331" s="551"/>
      <c r="Q1331" s="552"/>
    </row>
    <row r="1332" spans="3:17" x14ac:dyDescent="0.2">
      <c r="C1332" s="442" t="s">
        <v>390</v>
      </c>
      <c r="D1332" s="300"/>
      <c r="E1332" s="499"/>
      <c r="F1332" s="499"/>
      <c r="G1332" s="499"/>
      <c r="H1332" s="499"/>
      <c r="I1332" s="499"/>
      <c r="J1332" s="499"/>
      <c r="K1332" s="499"/>
      <c r="L1332" s="499"/>
      <c r="M1332" s="499"/>
      <c r="N1332" s="499"/>
      <c r="O1332" s="499"/>
      <c r="P1332" s="499"/>
      <c r="Q1332" s="543"/>
    </row>
    <row r="1333" spans="3:17" x14ac:dyDescent="0.2">
      <c r="C1333" s="784" t="s">
        <v>346</v>
      </c>
      <c r="D1333" s="300" t="s">
        <v>347</v>
      </c>
      <c r="E1333" s="499" t="e">
        <f>E67+E74+E81+E88+#REF!+E95+E102+E129+E136+E143+E150+E157+E184+E191+E198</f>
        <v>#REF!</v>
      </c>
      <c r="F1333" s="499" t="e">
        <f>F67+F74+F81+F88+#REF!+F95+F102+F129+F136+F143+F150+F157+F184+F191+F198</f>
        <v>#REF!</v>
      </c>
      <c r="G1333" s="499" t="e">
        <f>G67+G74+G81+G88+#REF!+G95+G102+G129+G136+G143+G150+G157+G184+G191+G198</f>
        <v>#REF!</v>
      </c>
      <c r="H1333" s="499" t="e">
        <f>H67+H74+H81+H88+#REF!+H95+H102+H129+H136+H143+H150+H157+H184+H191+H198</f>
        <v>#REF!</v>
      </c>
      <c r="I1333" s="499" t="e">
        <f>I67+I74+I81+I88+#REF!+I95+I102+I129+I136+I143+I150+I157+I184+I191+I198</f>
        <v>#REF!</v>
      </c>
      <c r="J1333" s="499" t="e">
        <f>J67+J74+J81+J88+#REF!+J95+J102+J129+J136+J143+J150+J157+J184+J191+J198</f>
        <v>#REF!</v>
      </c>
      <c r="K1333" s="499" t="e">
        <f>K67+K74+K81+K88+#REF!+K95+K102+K129+K136+K143+K150+K157+K184+K191+K198</f>
        <v>#REF!</v>
      </c>
      <c r="L1333" s="499" t="e">
        <f>L67+L74+L81+L88+#REF!+L95+L102+L129+L136+L143+L150+L157+L184+L191+L198</f>
        <v>#REF!</v>
      </c>
      <c r="M1333" s="499" t="e">
        <f>M67+M74+M81+M88+#REF!+M95+M102+M129+M136+M143+M150+M157+M184+M191+M198</f>
        <v>#REF!</v>
      </c>
      <c r="N1333" s="499" t="e">
        <f>N67+N74+N81+N88+#REF!+N95+N102+N129+N136+N143+N150+N157+N184+N191+N198</f>
        <v>#REF!</v>
      </c>
      <c r="O1333" s="499" t="e">
        <f>O67+O74+O81+O88+#REF!+O95+O102+O129+O136+O143+O150+O157+O184+O191+O198</f>
        <v>#REF!</v>
      </c>
      <c r="P1333" s="499" t="e">
        <f>P67+P74+P81+P88+#REF!+P95+P102+P129+P136+P143+P150+P157+P184+P191+P198</f>
        <v>#REF!</v>
      </c>
      <c r="Q1333" s="543" t="e">
        <f>SUM(E1333:P1333)</f>
        <v>#REF!</v>
      </c>
    </row>
    <row r="1334" spans="3:17" x14ac:dyDescent="0.2">
      <c r="C1334" s="784"/>
      <c r="D1334" s="300" t="s">
        <v>344</v>
      </c>
      <c r="E1334" s="499" t="e">
        <f>E68+E75+E82+E89+#REF!+E96+E103+E130+E137+E144+E151+E158+E185+E192+E199</f>
        <v>#REF!</v>
      </c>
      <c r="F1334" s="499" t="e">
        <f>F68+F75+F82+F89+#REF!+F96+F103+F130+F137+F144+F151+F158+F185+F192+F199</f>
        <v>#REF!</v>
      </c>
      <c r="G1334" s="499" t="e">
        <f>G68+G75+G82+G89+#REF!+G96+G103+G130+G137+G144+G151+G158+G185+G192+G199</f>
        <v>#REF!</v>
      </c>
      <c r="H1334" s="499" t="e">
        <f>H68+H75+H82+H89+#REF!+H96+H103+H130+H137+H144+H151+H158+H185+H192+H199</f>
        <v>#REF!</v>
      </c>
      <c r="I1334" s="499" t="e">
        <f>I68+I75+I82+I89+#REF!+I96+I103+I130+I137+I144+I151+I158+I185+I192+I199</f>
        <v>#REF!</v>
      </c>
      <c r="J1334" s="499" t="e">
        <f>J68+J75+J82+J89+#REF!+J96+J103+J130+J137+J144+J151+J158+J185+J192+J199</f>
        <v>#REF!</v>
      </c>
      <c r="K1334" s="499" t="e">
        <f>K68+K75+K82+K89+#REF!+K96+K103+K130+K137+K144+K151+K158+K185+K192+K199</f>
        <v>#REF!</v>
      </c>
      <c r="L1334" s="499" t="e">
        <f>L68+L75+L82+L89+#REF!+L96+L103+L130+L137+L144+L151+L158+L185+L192+L199</f>
        <v>#REF!</v>
      </c>
      <c r="M1334" s="499" t="e">
        <f>M68+M75+M82+M89+#REF!+M96+M103+M130+M137+M144+M151+M158+M185+M192+M199</f>
        <v>#REF!</v>
      </c>
      <c r="N1334" s="499" t="e">
        <f>N68+N75+N82+N89+#REF!+N96+N103+N130+N137+N144+N151+N158+N185+N192+N199</f>
        <v>#REF!</v>
      </c>
      <c r="O1334" s="499" t="e">
        <f>O68+O75+O82+O89+#REF!+O96+O103+O130+O137+O144+O151+O158+O185+O192+O199</f>
        <v>#REF!</v>
      </c>
      <c r="P1334" s="499" t="e">
        <f>P68+P75+P82+P89+#REF!+P96+P103+P130+P137+P144+P151+P158+P185+P192+P199</f>
        <v>#REF!</v>
      </c>
      <c r="Q1334" s="543" t="e">
        <f>SUM(E1334:P1334)</f>
        <v>#REF!</v>
      </c>
    </row>
    <row r="1335" spans="3:17" x14ac:dyDescent="0.2">
      <c r="C1335" s="784"/>
      <c r="D1335" s="300" t="s">
        <v>9</v>
      </c>
      <c r="E1335" s="499" t="e">
        <f>E69+E76+E83+E90+#REF!+E97+E104+E131+E138+E145+E152+E159+E186+E193+E200</f>
        <v>#REF!</v>
      </c>
      <c r="F1335" s="499" t="e">
        <f>F69+F76+F83+F90+#REF!+F97+F104+F131+F138+F145+F152+F159+F186+F193+F200</f>
        <v>#REF!</v>
      </c>
      <c r="G1335" s="499" t="e">
        <f>G69+G76+G83+G90+#REF!+G97+G104+G131+G138+G145+G152+G159+G186+G193+G200</f>
        <v>#REF!</v>
      </c>
      <c r="H1335" s="499" t="e">
        <f>H69+H76+H83+H90+#REF!+H97+H104+H131+H138+H145+H152+H159+H186+H193+H200</f>
        <v>#REF!</v>
      </c>
      <c r="I1335" s="499" t="e">
        <f>I69+I76+I83+I90+#REF!+I97+I104+I131+I138+I145+I152+I159+I186+I193+I200</f>
        <v>#REF!</v>
      </c>
      <c r="J1335" s="499" t="e">
        <f>J69+J76+J83+J90+#REF!+J97+J104+J131+J138+J145+J152+J159+J186+J193+J200</f>
        <v>#REF!</v>
      </c>
      <c r="K1335" s="499" t="e">
        <f>K69+K76+K83+K90+#REF!+K97+K104+K131+K138+K145+K152+K159+K186+K193+K200</f>
        <v>#REF!</v>
      </c>
      <c r="L1335" s="499" t="e">
        <f>L69+L76+L83+L90+#REF!+L97+L104+L131+L138+L145+L152+L159+L186+L193+L200</f>
        <v>#REF!</v>
      </c>
      <c r="M1335" s="499" t="e">
        <f>M69+M76+M83+M90+#REF!+M97+M104+M131+M138+M145+M152+M159+M186+M193+M200</f>
        <v>#REF!</v>
      </c>
      <c r="N1335" s="499" t="e">
        <f>N69+N76+N83+N90+#REF!+N97+N104+N131+N138+N145+N152+N159+N186+N193+N200</f>
        <v>#REF!</v>
      </c>
      <c r="O1335" s="499" t="e">
        <f>O69+O76+O83+O90+#REF!+O97+O104+O131+O138+O145+O152+O159+O186+O193+O200</f>
        <v>#REF!</v>
      </c>
      <c r="P1335" s="499" t="e">
        <f>P69+P76+P83+P90+#REF!+P97+P104+P131+P138+P145+P152+P159+P186+P193+P200</f>
        <v>#REF!</v>
      </c>
      <c r="Q1335" s="543" t="e">
        <f>SUM(E1335:P1335)</f>
        <v>#REF!</v>
      </c>
    </row>
    <row r="1336" spans="3:17" x14ac:dyDescent="0.2">
      <c r="C1336" s="784"/>
      <c r="D1336" s="300"/>
      <c r="E1336" s="499" t="e">
        <f>E1300-E1335</f>
        <v>#REF!</v>
      </c>
      <c r="F1336" s="499" t="e">
        <f t="shared" ref="F1336:P1336" si="423">F1300-F1335</f>
        <v>#REF!</v>
      </c>
      <c r="G1336" s="499" t="e">
        <f t="shared" si="423"/>
        <v>#REF!</v>
      </c>
      <c r="H1336" s="499" t="e">
        <f t="shared" si="423"/>
        <v>#REF!</v>
      </c>
      <c r="I1336" s="499" t="e">
        <f t="shared" si="423"/>
        <v>#REF!</v>
      </c>
      <c r="J1336" s="499" t="e">
        <f t="shared" si="423"/>
        <v>#REF!</v>
      </c>
      <c r="K1336" s="499" t="e">
        <f t="shared" si="423"/>
        <v>#REF!</v>
      </c>
      <c r="L1336" s="499" t="e">
        <f t="shared" si="423"/>
        <v>#REF!</v>
      </c>
      <c r="M1336" s="499" t="e">
        <f t="shared" si="423"/>
        <v>#REF!</v>
      </c>
      <c r="N1336" s="499" t="e">
        <f t="shared" si="423"/>
        <v>#REF!</v>
      </c>
      <c r="O1336" s="499" t="e">
        <f t="shared" si="423"/>
        <v>#REF!</v>
      </c>
      <c r="P1336" s="499" t="e">
        <f t="shared" si="423"/>
        <v>#REF!</v>
      </c>
      <c r="Q1336" s="543"/>
    </row>
    <row r="1337" spans="3:17" x14ac:dyDescent="0.2">
      <c r="C1337" s="784" t="s">
        <v>376</v>
      </c>
      <c r="D1337" s="300" t="s">
        <v>347</v>
      </c>
      <c r="E1337" s="499">
        <f t="shared" ref="E1337:P1337" si="424">E225+E232+E239+E246+E253+E260+E288+E295+E302+E309+E316+E323+E350+E357</f>
        <v>3605278.5100000012</v>
      </c>
      <c r="F1337" s="499">
        <f t="shared" si="424"/>
        <v>3467515.2600000002</v>
      </c>
      <c r="G1337" s="499">
        <f t="shared" si="424"/>
        <v>2923750.4400000004</v>
      </c>
      <c r="H1337" s="499">
        <f t="shared" si="424"/>
        <v>2195130.8800000004</v>
      </c>
      <c r="I1337" s="499">
        <f t="shared" si="424"/>
        <v>1695359.1199999999</v>
      </c>
      <c r="J1337" s="499">
        <f t="shared" si="424"/>
        <v>1449465.2299999997</v>
      </c>
      <c r="K1337" s="499">
        <f t="shared" si="424"/>
        <v>1371323.3</v>
      </c>
      <c r="L1337" s="499">
        <f t="shared" si="424"/>
        <v>1380842.72</v>
      </c>
      <c r="M1337" s="499">
        <f t="shared" si="424"/>
        <v>1425742.15</v>
      </c>
      <c r="N1337" s="499">
        <f t="shared" si="424"/>
        <v>1608374.34</v>
      </c>
      <c r="O1337" s="499">
        <f t="shared" si="424"/>
        <v>2088413.56</v>
      </c>
      <c r="P1337" s="499">
        <f t="shared" si="424"/>
        <v>2921532.6300000008</v>
      </c>
      <c r="Q1337" s="543">
        <f>SUM(E1337:P1337)</f>
        <v>26132728.140000001</v>
      </c>
    </row>
    <row r="1338" spans="3:17" x14ac:dyDescent="0.2">
      <c r="C1338" s="784"/>
      <c r="D1338" s="300" t="s">
        <v>344</v>
      </c>
      <c r="E1338" s="499">
        <f t="shared" ref="E1338:P1338" si="425">E226+E233+E240+E247+E254+E261+E289+E296+E303+E310+E317+E324+E351+E358</f>
        <v>0</v>
      </c>
      <c r="F1338" s="499">
        <f t="shared" si="425"/>
        <v>0</v>
      </c>
      <c r="G1338" s="499">
        <f t="shared" si="425"/>
        <v>0</v>
      </c>
      <c r="H1338" s="499">
        <f t="shared" si="425"/>
        <v>0</v>
      </c>
      <c r="I1338" s="499">
        <f t="shared" si="425"/>
        <v>0</v>
      </c>
      <c r="J1338" s="499">
        <f t="shared" si="425"/>
        <v>0</v>
      </c>
      <c r="K1338" s="499">
        <f t="shared" si="425"/>
        <v>0</v>
      </c>
      <c r="L1338" s="499">
        <f t="shared" si="425"/>
        <v>0</v>
      </c>
      <c r="M1338" s="499">
        <f t="shared" si="425"/>
        <v>0</v>
      </c>
      <c r="N1338" s="499">
        <f t="shared" si="425"/>
        <v>0</v>
      </c>
      <c r="O1338" s="499">
        <f t="shared" si="425"/>
        <v>0</v>
      </c>
      <c r="P1338" s="499">
        <f t="shared" si="425"/>
        <v>185945</v>
      </c>
      <c r="Q1338" s="543">
        <f>SUM(E1338:P1338)</f>
        <v>185945</v>
      </c>
    </row>
    <row r="1339" spans="3:17" x14ac:dyDescent="0.2">
      <c r="C1339" s="784"/>
      <c r="D1339" s="300" t="s">
        <v>9</v>
      </c>
      <c r="E1339" s="499">
        <f t="shared" ref="E1339:P1339" si="426">E227+E234+E241+E248+E255+E262+E290+E297+E304+E311+E318+E325+E352+E359</f>
        <v>3605278.5100000012</v>
      </c>
      <c r="F1339" s="499">
        <f t="shared" si="426"/>
        <v>3467515.2600000002</v>
      </c>
      <c r="G1339" s="499">
        <f t="shared" si="426"/>
        <v>2923750.4400000004</v>
      </c>
      <c r="H1339" s="499">
        <f t="shared" si="426"/>
        <v>2195130.8800000004</v>
      </c>
      <c r="I1339" s="499">
        <f t="shared" si="426"/>
        <v>1695359.1199999999</v>
      </c>
      <c r="J1339" s="499">
        <f t="shared" si="426"/>
        <v>1449465.2299999997</v>
      </c>
      <c r="K1339" s="499">
        <f t="shared" si="426"/>
        <v>1371323.3</v>
      </c>
      <c r="L1339" s="499">
        <f t="shared" si="426"/>
        <v>1380842.72</v>
      </c>
      <c r="M1339" s="499">
        <f t="shared" si="426"/>
        <v>1425742.15</v>
      </c>
      <c r="N1339" s="499">
        <f t="shared" si="426"/>
        <v>1608374.34</v>
      </c>
      <c r="O1339" s="499">
        <f t="shared" si="426"/>
        <v>2088413.56</v>
      </c>
      <c r="P1339" s="499">
        <f t="shared" si="426"/>
        <v>3107477.6300000008</v>
      </c>
      <c r="Q1339" s="543">
        <f>SUM(E1339:P1339)</f>
        <v>26318673.140000001</v>
      </c>
    </row>
    <row r="1340" spans="3:17" x14ac:dyDescent="0.2">
      <c r="C1340" s="784"/>
      <c r="D1340" s="300"/>
      <c r="E1340" s="499">
        <f>E1329-E1339</f>
        <v>0</v>
      </c>
      <c r="F1340" s="499">
        <f t="shared" ref="F1340:Q1340" si="427">F1329-F1339</f>
        <v>0</v>
      </c>
      <c r="G1340" s="499">
        <f t="shared" si="427"/>
        <v>0</v>
      </c>
      <c r="H1340" s="499">
        <f t="shared" si="427"/>
        <v>0</v>
      </c>
      <c r="I1340" s="499">
        <f t="shared" si="427"/>
        <v>0</v>
      </c>
      <c r="J1340" s="499">
        <f t="shared" si="427"/>
        <v>0</v>
      </c>
      <c r="K1340" s="499">
        <f t="shared" si="427"/>
        <v>0</v>
      </c>
      <c r="L1340" s="499">
        <f t="shared" si="427"/>
        <v>0</v>
      </c>
      <c r="M1340" s="499">
        <f t="shared" si="427"/>
        <v>0</v>
      </c>
      <c r="N1340" s="499">
        <f t="shared" si="427"/>
        <v>0</v>
      </c>
      <c r="O1340" s="499">
        <f t="shared" si="427"/>
        <v>0</v>
      </c>
      <c r="P1340" s="499">
        <f t="shared" si="427"/>
        <v>-185945.00000000093</v>
      </c>
      <c r="Q1340" s="543">
        <f t="shared" si="427"/>
        <v>-185945.00000000373</v>
      </c>
    </row>
    <row r="1341" spans="3:17" x14ac:dyDescent="0.2">
      <c r="C1341" s="784" t="s">
        <v>339</v>
      </c>
      <c r="D1341" s="300"/>
      <c r="E1341" s="499" t="e">
        <f t="shared" ref="E1341:Q1341" si="428">SUM(E1259:E1272)-E1335-E1339</f>
        <v>#REF!</v>
      </c>
      <c r="F1341" s="499" t="e">
        <f t="shared" si="428"/>
        <v>#REF!</v>
      </c>
      <c r="G1341" s="499" t="e">
        <f t="shared" si="428"/>
        <v>#REF!</v>
      </c>
      <c r="H1341" s="499" t="e">
        <f t="shared" si="428"/>
        <v>#REF!</v>
      </c>
      <c r="I1341" s="499" t="e">
        <f t="shared" si="428"/>
        <v>#REF!</v>
      </c>
      <c r="J1341" s="499" t="e">
        <f t="shared" si="428"/>
        <v>#REF!</v>
      </c>
      <c r="K1341" s="499" t="e">
        <f t="shared" si="428"/>
        <v>#REF!</v>
      </c>
      <c r="L1341" s="499" t="e">
        <f t="shared" si="428"/>
        <v>#REF!</v>
      </c>
      <c r="M1341" s="499" t="e">
        <f t="shared" si="428"/>
        <v>#REF!</v>
      </c>
      <c r="N1341" s="499" t="e">
        <f t="shared" si="428"/>
        <v>#REF!</v>
      </c>
      <c r="O1341" s="499" t="e">
        <f t="shared" si="428"/>
        <v>#REF!</v>
      </c>
      <c r="P1341" s="499" t="e">
        <f t="shared" si="428"/>
        <v>#REF!</v>
      </c>
      <c r="Q1341" s="543" t="e">
        <f t="shared" si="428"/>
        <v>#REF!</v>
      </c>
    </row>
    <row r="1342" spans="3:17" ht="10.8" thickBot="1" x14ac:dyDescent="0.25">
      <c r="C1342" s="452"/>
      <c r="D1342" s="550"/>
      <c r="E1342" s="453"/>
      <c r="F1342" s="553"/>
      <c r="G1342" s="554"/>
      <c r="H1342" s="553"/>
      <c r="I1342" s="555"/>
      <c r="J1342" s="553"/>
      <c r="K1342" s="553"/>
      <c r="L1342" s="553"/>
      <c r="M1342" s="553"/>
      <c r="N1342" s="553"/>
      <c r="O1342" s="553"/>
      <c r="P1342" s="553"/>
      <c r="Q1342" s="454"/>
    </row>
  </sheetData>
  <mergeCells count="126">
    <mergeCell ref="A989:Q989"/>
    <mergeCell ref="A990:Q990"/>
    <mergeCell ref="A995:Q995"/>
    <mergeCell ref="A919:Q919"/>
    <mergeCell ref="A920:Q920"/>
    <mergeCell ref="A925:Q925"/>
    <mergeCell ref="A1190:Q1190"/>
    <mergeCell ref="A1191:Q1191"/>
    <mergeCell ref="A1196:Q1196"/>
    <mergeCell ref="A1187:Q1187"/>
    <mergeCell ref="A1188:Q1188"/>
    <mergeCell ref="A1189:Q1189"/>
    <mergeCell ref="A1129:Q1129"/>
    <mergeCell ref="A1130:Q1130"/>
    <mergeCell ref="A1131:Q1131"/>
    <mergeCell ref="A1132:Q1132"/>
    <mergeCell ref="A1133:Q1133"/>
    <mergeCell ref="A1138:Q1138"/>
    <mergeCell ref="A1059:Q1059"/>
    <mergeCell ref="A1060:Q1060"/>
    <mergeCell ref="A1061:Q1061"/>
    <mergeCell ref="A1062:Q1062"/>
    <mergeCell ref="A1063:Q1063"/>
    <mergeCell ref="A1068:Q1068"/>
    <mergeCell ref="A875:Q875"/>
    <mergeCell ref="A876:Q876"/>
    <mergeCell ref="A881:Q881"/>
    <mergeCell ref="A916:Q916"/>
    <mergeCell ref="A917:Q917"/>
    <mergeCell ref="A918:Q918"/>
    <mergeCell ref="A986:Q986"/>
    <mergeCell ref="A987:Q987"/>
    <mergeCell ref="A988:Q988"/>
    <mergeCell ref="A801:Q801"/>
    <mergeCell ref="A802:Q802"/>
    <mergeCell ref="A803:Q803"/>
    <mergeCell ref="A804:Q804"/>
    <mergeCell ref="A805:Q805"/>
    <mergeCell ref="A810:Q810"/>
    <mergeCell ref="A872:Q872"/>
    <mergeCell ref="A873:Q873"/>
    <mergeCell ref="A874:Q874"/>
    <mergeCell ref="A683:Q683"/>
    <mergeCell ref="A684:Q684"/>
    <mergeCell ref="A689:Q689"/>
    <mergeCell ref="A730:Q730"/>
    <mergeCell ref="A731:Q731"/>
    <mergeCell ref="A732:Q732"/>
    <mergeCell ref="A733:Q733"/>
    <mergeCell ref="A734:Q734"/>
    <mergeCell ref="A739:Q739"/>
    <mergeCell ref="A629:Q629"/>
    <mergeCell ref="A630:Q630"/>
    <mergeCell ref="A631:Q631"/>
    <mergeCell ref="A632:Q632"/>
    <mergeCell ref="A633:Q633"/>
    <mergeCell ref="A638:Q638"/>
    <mergeCell ref="A680:Q680"/>
    <mergeCell ref="A681:Q681"/>
    <mergeCell ref="A682:Q682"/>
    <mergeCell ref="A574:Q574"/>
    <mergeCell ref="A575:Q575"/>
    <mergeCell ref="A576:Q576"/>
    <mergeCell ref="A577:Q577"/>
    <mergeCell ref="A578:Q578"/>
    <mergeCell ref="A583:Q583"/>
    <mergeCell ref="A507:Q507"/>
    <mergeCell ref="A508:Q508"/>
    <mergeCell ref="A509:Q509"/>
    <mergeCell ref="A510:Q510"/>
    <mergeCell ref="A511:Q511"/>
    <mergeCell ref="A516:Q516"/>
    <mergeCell ref="A438:Q438"/>
    <mergeCell ref="A439:Q439"/>
    <mergeCell ref="A440:Q440"/>
    <mergeCell ref="A441:Q441"/>
    <mergeCell ref="A442:Q442"/>
    <mergeCell ref="A447:Q447"/>
    <mergeCell ref="A380:Q380"/>
    <mergeCell ref="A381:Q381"/>
    <mergeCell ref="A386:Q386"/>
    <mergeCell ref="A1:Q1"/>
    <mergeCell ref="A2:Q2"/>
    <mergeCell ref="A3:Q3"/>
    <mergeCell ref="A4:Q4"/>
    <mergeCell ref="A5:Q5"/>
    <mergeCell ref="A10:Q10"/>
    <mergeCell ref="A377:Q377"/>
    <mergeCell ref="A378:Q378"/>
    <mergeCell ref="A379:Q379"/>
    <mergeCell ref="A112:Q112"/>
    <mergeCell ref="A113:Q113"/>
    <mergeCell ref="A118:Q118"/>
    <mergeCell ref="A205:Q205"/>
    <mergeCell ref="A206:Q206"/>
    <mergeCell ref="A207:Q207"/>
    <mergeCell ref="A208:Q208"/>
    <mergeCell ref="A209:Q209"/>
    <mergeCell ref="A214:Q214"/>
    <mergeCell ref="A47:Q47"/>
    <mergeCell ref="A48:Q48"/>
    <mergeCell ref="A49:Q49"/>
    <mergeCell ref="A50:Q50"/>
    <mergeCell ref="A51:Q51"/>
    <mergeCell ref="A56:Q56"/>
    <mergeCell ref="A109:Q109"/>
    <mergeCell ref="A110:Q110"/>
    <mergeCell ref="A111:Q111"/>
    <mergeCell ref="A330:Q330"/>
    <mergeCell ref="A331:Q331"/>
    <mergeCell ref="A332:Q332"/>
    <mergeCell ref="A333:Q333"/>
    <mergeCell ref="A334:Q334"/>
    <mergeCell ref="A339:Q339"/>
    <mergeCell ref="A164:Q164"/>
    <mergeCell ref="A165:Q165"/>
    <mergeCell ref="A166:Q166"/>
    <mergeCell ref="A167:Q167"/>
    <mergeCell ref="A168:Q168"/>
    <mergeCell ref="A173:Q173"/>
    <mergeCell ref="A267:Q267"/>
    <mergeCell ref="A268:Q268"/>
    <mergeCell ref="A269:Q269"/>
    <mergeCell ref="A270:Q270"/>
    <mergeCell ref="A271:Q271"/>
    <mergeCell ref="A276:Q276"/>
  </mergeCells>
  <printOptions horizontalCentered="1"/>
  <pageMargins left="1" right="1" top="1" bottom="1" header="0.5" footer="0.5"/>
  <pageSetup scale="60" orientation="landscape" r:id="rId1"/>
  <headerFooter alignWithMargins="0">
    <oddHeader>&amp;RKY PSC Case No. 2016-0016
Attachment A to PSC 3-3(b)</oddHeader>
  </headerFooter>
  <rowBreaks count="20" manualBreakCount="20">
    <brk id="46" max="17" man="1"/>
    <brk id="108" max="16383" man="1"/>
    <brk id="163" max="16383" man="1"/>
    <brk id="204" max="16383" man="1"/>
    <brk id="266" max="16383" man="1"/>
    <brk id="329" max="16383" man="1"/>
    <brk id="376" max="16383" man="1"/>
    <brk id="437" max="16383" man="1"/>
    <brk id="506" max="16383" man="1"/>
    <brk id="573" max="16383" man="1"/>
    <brk id="628" max="16383" man="1"/>
    <brk id="679" max="16383" man="1"/>
    <brk id="729" max="16383" man="1"/>
    <brk id="800" max="16383" man="1"/>
    <brk id="871" max="16383" man="1"/>
    <brk id="915" max="16383" man="1"/>
    <brk id="985" max="16383" man="1"/>
    <brk id="1058" max="16383" man="1"/>
    <brk id="1128" max="16383" man="1"/>
    <brk id="118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292"/>
  <sheetViews>
    <sheetView topLeftCell="A121" zoomScaleNormal="100" workbookViewId="0">
      <selection activeCell="A142" sqref="A142"/>
    </sheetView>
  </sheetViews>
  <sheetFormatPr defaultColWidth="9.6640625" defaultRowHeight="10.199999999999999" x14ac:dyDescent="0.2"/>
  <cols>
    <col min="1" max="1" width="5.33203125" style="219" customWidth="1"/>
    <col min="2" max="2" width="6.83203125" style="219" bestFit="1" customWidth="1"/>
    <col min="3" max="3" width="69.1640625" style="219" customWidth="1"/>
    <col min="4" max="5" width="15.6640625" style="219" bestFit="1" customWidth="1"/>
    <col min="6" max="6" width="19.1640625" style="219" bestFit="1" customWidth="1"/>
    <col min="7" max="7" width="15.6640625" style="219" bestFit="1" customWidth="1"/>
    <col min="8" max="8" width="15" style="219" bestFit="1" customWidth="1"/>
    <col min="9" max="9" width="15.83203125" style="219" customWidth="1"/>
    <col min="10" max="10" width="14" style="219" customWidth="1"/>
    <col min="11" max="11" width="14" style="219" bestFit="1" customWidth="1"/>
    <col min="12" max="12" width="27.1640625" style="219" bestFit="1" customWidth="1"/>
    <col min="13" max="13" width="15.6640625" style="219" customWidth="1"/>
    <col min="14" max="14" width="17.33203125" style="219" bestFit="1" customWidth="1"/>
    <col min="15" max="15" width="14" style="219" bestFit="1" customWidth="1"/>
    <col min="16" max="16384" width="9.6640625" style="219"/>
  </cols>
  <sheetData>
    <row r="1" spans="1:16" x14ac:dyDescent="0.2">
      <c r="A1" s="978" t="s">
        <v>36</v>
      </c>
      <c r="B1" s="978"/>
      <c r="C1" s="978"/>
      <c r="D1" s="978"/>
      <c r="E1" s="978"/>
      <c r="F1" s="978"/>
      <c r="G1" s="978"/>
      <c r="H1" s="978"/>
      <c r="I1" s="407"/>
      <c r="J1" s="220" t="s">
        <v>647</v>
      </c>
    </row>
    <row r="2" spans="1:16" x14ac:dyDescent="0.2">
      <c r="A2" s="999" t="s">
        <v>423</v>
      </c>
      <c r="B2" s="999"/>
      <c r="C2" s="999"/>
      <c r="D2" s="999"/>
      <c r="E2" s="999"/>
      <c r="F2" s="999"/>
      <c r="G2" s="999"/>
      <c r="H2" s="999"/>
      <c r="I2" s="408"/>
      <c r="J2" s="220" t="s">
        <v>629</v>
      </c>
    </row>
    <row r="3" spans="1:16" x14ac:dyDescent="0.2">
      <c r="A3" s="978" t="str">
        <f>A!A3</f>
        <v>For the 12 Months Ended December 31, 2017</v>
      </c>
      <c r="B3" s="978"/>
      <c r="C3" s="978"/>
      <c r="D3" s="978"/>
      <c r="E3" s="978"/>
      <c r="F3" s="978"/>
      <c r="G3" s="978"/>
      <c r="H3" s="978"/>
      <c r="I3" s="407"/>
      <c r="J3" s="221" t="s">
        <v>450</v>
      </c>
    </row>
    <row r="4" spans="1:16" x14ac:dyDescent="0.2">
      <c r="I4" s="222"/>
      <c r="J4" s="222"/>
    </row>
    <row r="5" spans="1:16" x14ac:dyDescent="0.2">
      <c r="C5" s="223"/>
      <c r="F5" s="224" t="s">
        <v>145</v>
      </c>
      <c r="G5" s="224" t="s">
        <v>30</v>
      </c>
      <c r="H5" s="224" t="s">
        <v>9</v>
      </c>
      <c r="I5" s="407" t="s">
        <v>30</v>
      </c>
      <c r="J5" s="740" t="s">
        <v>30</v>
      </c>
      <c r="L5" s="407"/>
      <c r="M5" s="407"/>
    </row>
    <row r="6" spans="1:16" x14ac:dyDescent="0.2">
      <c r="A6" s="224" t="s">
        <v>1</v>
      </c>
      <c r="B6" s="224"/>
      <c r="C6" s="223"/>
      <c r="D6" s="224" t="s">
        <v>5</v>
      </c>
      <c r="E6" s="224" t="s">
        <v>5</v>
      </c>
      <c r="F6" s="224" t="s">
        <v>47</v>
      </c>
      <c r="G6" s="224" t="s">
        <v>425</v>
      </c>
      <c r="H6" s="224" t="s">
        <v>30</v>
      </c>
      <c r="I6" s="225" t="s">
        <v>147</v>
      </c>
      <c r="J6" s="740" t="s">
        <v>533</v>
      </c>
      <c r="L6" s="225"/>
      <c r="M6" s="225"/>
    </row>
    <row r="7" spans="1:16" x14ac:dyDescent="0.2">
      <c r="A7" s="226" t="s">
        <v>3</v>
      </c>
      <c r="B7" s="226"/>
      <c r="C7" s="227" t="s">
        <v>4</v>
      </c>
      <c r="D7" s="226" t="s">
        <v>25</v>
      </c>
      <c r="E7" s="226" t="s">
        <v>26</v>
      </c>
      <c r="F7" s="227" t="s">
        <v>48</v>
      </c>
      <c r="G7" s="227" t="s">
        <v>147</v>
      </c>
      <c r="H7" s="227" t="s">
        <v>20</v>
      </c>
      <c r="I7" s="228" t="s">
        <v>426</v>
      </c>
      <c r="J7" s="281" t="s">
        <v>534</v>
      </c>
      <c r="L7" s="228"/>
      <c r="M7" s="228"/>
    </row>
    <row r="8" spans="1:16" x14ac:dyDescent="0.2">
      <c r="C8" s="223"/>
      <c r="D8" s="224" t="s">
        <v>6</v>
      </c>
      <c r="E8" s="229" t="s">
        <v>7</v>
      </c>
      <c r="F8" s="229" t="s">
        <v>21</v>
      </c>
      <c r="G8" s="229" t="s">
        <v>8</v>
      </c>
      <c r="H8" s="229" t="s">
        <v>427</v>
      </c>
      <c r="I8" s="230" t="s">
        <v>395</v>
      </c>
      <c r="J8" s="742" t="s">
        <v>428</v>
      </c>
      <c r="L8" s="230"/>
      <c r="M8" s="230"/>
    </row>
    <row r="9" spans="1:16" x14ac:dyDescent="0.2">
      <c r="D9" s="224"/>
      <c r="E9" s="224" t="s">
        <v>22</v>
      </c>
      <c r="F9" s="224" t="s">
        <v>24</v>
      </c>
      <c r="G9" s="224" t="s">
        <v>24</v>
      </c>
      <c r="H9" s="224" t="s">
        <v>24</v>
      </c>
      <c r="I9" s="407" t="s">
        <v>148</v>
      </c>
      <c r="L9" s="407"/>
      <c r="M9" s="407"/>
    </row>
    <row r="10" spans="1:16" x14ac:dyDescent="0.2">
      <c r="D10" s="229" t="s">
        <v>452</v>
      </c>
      <c r="E10" s="229" t="s">
        <v>453</v>
      </c>
      <c r="F10" s="852" t="s">
        <v>640</v>
      </c>
      <c r="G10" s="229"/>
      <c r="H10" s="229" t="s">
        <v>455</v>
      </c>
      <c r="I10" s="407"/>
      <c r="L10" s="407"/>
      <c r="M10" s="224"/>
      <c r="P10" s="231"/>
    </row>
    <row r="11" spans="1:16" x14ac:dyDescent="0.2">
      <c r="A11" s="231">
        <v>1</v>
      </c>
      <c r="C11" s="223" t="s">
        <v>429</v>
      </c>
      <c r="I11" s="222"/>
      <c r="L11" s="222"/>
      <c r="N11" s="232"/>
      <c r="O11" s="232"/>
      <c r="P11" s="232"/>
    </row>
    <row r="12" spans="1:16" x14ac:dyDescent="0.2">
      <c r="A12" s="231"/>
      <c r="I12" s="222"/>
      <c r="L12" s="222"/>
      <c r="N12" s="233"/>
    </row>
    <row r="13" spans="1:16" x14ac:dyDescent="0.2">
      <c r="A13" s="231">
        <f>A11+1</f>
        <v>2</v>
      </c>
      <c r="C13" s="219" t="s">
        <v>159</v>
      </c>
      <c r="D13" s="234">
        <f>B!P17+B!P164</f>
        <v>1462612</v>
      </c>
      <c r="E13" s="403">
        <f>'C'!P187+'C'!P17</f>
        <v>7955080.5000000009</v>
      </c>
      <c r="F13" s="406">
        <f>'Sch M 2.2'!$Q70+'Sch M 2.2'!$Q232+'Sch M 2.1'!F19</f>
        <v>58710247.770000011</v>
      </c>
      <c r="G13" s="237">
        <f t="shared" ref="G13:G32" si="0">H13-F13</f>
        <v>8720967.2399999797</v>
      </c>
      <c r="H13" s="236">
        <f>'Sch M 2.3'!$Q69+'Sch M 2.3'!$Q227</f>
        <v>67431215.00999999</v>
      </c>
      <c r="I13" s="238">
        <f>IF(F13=0,0,ROUND(G13/F13,4))</f>
        <v>0.14849999999999999</v>
      </c>
      <c r="J13" s="238">
        <f>ROUND((G13+G22+G25+G26+G18+G19+G20+G23)/(F13+F22+F25+F26+F18+F19+F20+F23),4)</f>
        <v>0.14849999999999999</v>
      </c>
      <c r="L13" s="242"/>
      <c r="M13" s="238"/>
      <c r="N13" s="239"/>
      <c r="O13" s="240"/>
      <c r="P13" s="240"/>
    </row>
    <row r="14" spans="1:16" x14ac:dyDescent="0.2">
      <c r="A14" s="231">
        <f>A13+1</f>
        <v>3</v>
      </c>
      <c r="C14" s="219" t="s">
        <v>173</v>
      </c>
      <c r="D14" s="234">
        <f>B!P81+B!P87+B!P170+B!P176+B!P194+B!P200</f>
        <v>167676</v>
      </c>
      <c r="E14" s="403">
        <f>'C'!P96+'C'!P129+'C'!P207+'C'!P240+'C'!P307+'C'!P327</f>
        <v>5748554.7000000011</v>
      </c>
      <c r="F14" s="287">
        <f>'Sch M 2.2'!$Q162+'Sch M 2.2'!$Q190+'Sch M 2.2'!$Q239+'Sch M 2.2'!$Q246+'Sch M 2.2'!$Q267+'Sch M 2.2'!$Q294+'Sch M 2.1'!F29+'Sch M 2.1'!F30</f>
        <v>26463105.739999995</v>
      </c>
      <c r="G14" s="237">
        <f t="shared" si="0"/>
        <v>3591090.1900000051</v>
      </c>
      <c r="H14" s="234">
        <f>'Sch M 2.3'!$Q159+'Sch M 2.3'!$Q186+'Sch M 2.3'!$Q234+'Sch M 2.3'!$Q241+'Sch M 2.3'!$Q262+'Sch M 2.3'!$Q290</f>
        <v>30054195.93</v>
      </c>
      <c r="I14" s="238">
        <f t="shared" ref="I14:I32" si="1">IF(F14=0,0,ROUND(G14/F14,4))</f>
        <v>0.13569999999999999</v>
      </c>
      <c r="J14" s="238">
        <f>ROUND((G14+G21+G24)/(F14+F21+F24),4)</f>
        <v>0.13569999999999999</v>
      </c>
      <c r="L14" s="242"/>
      <c r="M14" s="238"/>
      <c r="N14" s="239"/>
      <c r="O14" s="240"/>
      <c r="P14" s="240"/>
    </row>
    <row r="15" spans="1:16" x14ac:dyDescent="0.2">
      <c r="A15" s="231">
        <f>A14+1</f>
        <v>4</v>
      </c>
      <c r="C15" s="222" t="s">
        <v>191</v>
      </c>
      <c r="D15" s="234">
        <f>B!P182+B!P188+B!P252</f>
        <v>896</v>
      </c>
      <c r="E15" s="403">
        <f>'C'!P257+'C'!P274+'C'!P391</f>
        <v>6897867.4000000004</v>
      </c>
      <c r="F15" s="287">
        <f>'Sch M 2.2'!$Q253+'Sch M 2.2'!$Q260+'Sch M 2.2'!$Q356</f>
        <v>4621275.5</v>
      </c>
      <c r="G15" s="237">
        <f t="shared" si="0"/>
        <v>1021914.5200000005</v>
      </c>
      <c r="H15" s="234">
        <f>'Sch M 2.3'!$Q248+'Sch M 2.3'!$Q255+'Sch M 2.3'!$Q352</f>
        <v>5643190.0200000005</v>
      </c>
      <c r="I15" s="238">
        <f t="shared" si="1"/>
        <v>0.22109999999999999</v>
      </c>
      <c r="J15" s="238">
        <f>ROUND((G15+G16+G28+G29+G31+G32)/(F15+F16+F28+F29+F31+F32),4)</f>
        <v>0.17249999999999999</v>
      </c>
      <c r="L15" s="242"/>
      <c r="M15" s="238"/>
      <c r="N15" s="239"/>
      <c r="O15" s="240"/>
      <c r="P15" s="240"/>
    </row>
    <row r="16" spans="1:16" x14ac:dyDescent="0.2">
      <c r="A16" s="231">
        <f>A15+1</f>
        <v>5</v>
      </c>
      <c r="C16" s="222" t="s">
        <v>290</v>
      </c>
      <c r="D16" s="234">
        <f>B!P93</f>
        <v>0</v>
      </c>
      <c r="E16" s="403">
        <f>'C'!P136</f>
        <v>0</v>
      </c>
      <c r="F16" s="287">
        <f>'Sch M 2.2'!$Q197+'Sch M 2.1'!F31</f>
        <v>0</v>
      </c>
      <c r="G16" s="237">
        <f t="shared" si="0"/>
        <v>0</v>
      </c>
      <c r="H16" s="234">
        <f>'Sch M 2.3'!$Q193</f>
        <v>0</v>
      </c>
      <c r="I16" s="238">
        <f t="shared" si="1"/>
        <v>0</v>
      </c>
      <c r="J16" s="760">
        <f>J15</f>
        <v>0.17249999999999999</v>
      </c>
      <c r="L16" s="242"/>
      <c r="M16" s="238"/>
      <c r="N16" s="239"/>
      <c r="O16" s="240"/>
      <c r="P16" s="240"/>
    </row>
    <row r="17" spans="1:16" x14ac:dyDescent="0.2">
      <c r="A17" s="231">
        <f>A16+1</f>
        <v>6</v>
      </c>
      <c r="C17" s="222" t="s">
        <v>92</v>
      </c>
      <c r="D17" s="243">
        <f>B!P99</f>
        <v>24</v>
      </c>
      <c r="E17" s="404">
        <f>'C'!P141</f>
        <v>11320.699999999999</v>
      </c>
      <c r="F17" s="405">
        <f>'Sch M 2.2'!$Q204+'Sch M 2.1'!F32</f>
        <v>47824.330000000009</v>
      </c>
      <c r="G17" s="237">
        <f t="shared" si="0"/>
        <v>4267.7999999999884</v>
      </c>
      <c r="H17" s="243">
        <f>'Sch M 2.3'!$Q200</f>
        <v>52092.13</v>
      </c>
      <c r="I17" s="238">
        <f t="shared" si="1"/>
        <v>8.9200000000000002E-2</v>
      </c>
      <c r="J17" s="238">
        <f>ROUND(G17/F17,4)</f>
        <v>8.9200000000000002E-2</v>
      </c>
      <c r="L17" s="242"/>
      <c r="M17" s="238"/>
      <c r="N17" s="239"/>
      <c r="O17" s="240"/>
      <c r="P17" s="240"/>
    </row>
    <row r="18" spans="1:16" x14ac:dyDescent="0.2">
      <c r="A18" s="231">
        <f>A17+1</f>
        <v>7</v>
      </c>
      <c r="C18" s="222" t="s">
        <v>535</v>
      </c>
      <c r="D18" s="243">
        <f>B!P32</f>
        <v>108</v>
      </c>
      <c r="E18" s="404">
        <f>'C'!P32</f>
        <v>990.2</v>
      </c>
      <c r="F18" s="405">
        <f>'Sch M 2.2'!$Q91</f>
        <v>396.08</v>
      </c>
      <c r="G18" s="237">
        <f t="shared" si="0"/>
        <v>0</v>
      </c>
      <c r="H18" s="243">
        <f>'Sch M 2.3'!$Q90</f>
        <v>396.08</v>
      </c>
      <c r="I18" s="238">
        <f t="shared" si="1"/>
        <v>0</v>
      </c>
      <c r="J18" s="760">
        <f>J13</f>
        <v>0.14849999999999999</v>
      </c>
      <c r="L18" s="242"/>
      <c r="M18" s="238"/>
      <c r="N18" s="239"/>
      <c r="O18" s="240"/>
      <c r="P18" s="240"/>
    </row>
    <row r="19" spans="1:16" x14ac:dyDescent="0.2">
      <c r="A19" s="231">
        <f t="shared" ref="A19:A31" si="2">A18+1</f>
        <v>8</v>
      </c>
      <c r="C19" s="222" t="s">
        <v>84</v>
      </c>
      <c r="D19" s="243">
        <f>B!P37</f>
        <v>0</v>
      </c>
      <c r="E19" s="404">
        <f>'C'!P37</f>
        <v>0</v>
      </c>
      <c r="F19" s="405">
        <f>'Sch M 2.2'!$Q98</f>
        <v>0</v>
      </c>
      <c r="G19" s="237">
        <f t="shared" si="0"/>
        <v>0</v>
      </c>
      <c r="H19" s="243">
        <f>'Sch M 2.3'!$Q97</f>
        <v>0</v>
      </c>
      <c r="I19" s="238">
        <f t="shared" si="1"/>
        <v>0</v>
      </c>
      <c r="J19" s="760">
        <f>J13</f>
        <v>0.14849999999999999</v>
      </c>
      <c r="L19" s="242"/>
      <c r="M19" s="238"/>
      <c r="N19" s="239"/>
      <c r="O19" s="240"/>
      <c r="P19" s="240"/>
    </row>
    <row r="20" spans="1:16" x14ac:dyDescent="0.2">
      <c r="A20" s="231">
        <f t="shared" si="2"/>
        <v>9</v>
      </c>
      <c r="C20" s="222" t="s">
        <v>85</v>
      </c>
      <c r="D20" s="243">
        <f>B!P42</f>
        <v>36</v>
      </c>
      <c r="E20" s="404">
        <f>'C'!P42</f>
        <v>333.60000000000008</v>
      </c>
      <c r="F20" s="405">
        <f>'Sch M 2.2'!$Q105</f>
        <v>200.16</v>
      </c>
      <c r="G20" s="237">
        <f t="shared" si="0"/>
        <v>0</v>
      </c>
      <c r="H20" s="243">
        <f>'Sch M 2.3'!$Q104</f>
        <v>200.16</v>
      </c>
      <c r="I20" s="238">
        <f t="shared" si="1"/>
        <v>0</v>
      </c>
      <c r="J20" s="760">
        <f>J13</f>
        <v>0.14849999999999999</v>
      </c>
      <c r="L20" s="242"/>
      <c r="M20" s="238"/>
      <c r="N20" s="239"/>
      <c r="O20" s="240"/>
      <c r="P20" s="240"/>
    </row>
    <row r="21" spans="1:16" x14ac:dyDescent="0.2">
      <c r="A21" s="231">
        <f t="shared" si="2"/>
        <v>10</v>
      </c>
      <c r="C21" s="222" t="s">
        <v>77</v>
      </c>
      <c r="D21" s="243">
        <f>B!P22</f>
        <v>41</v>
      </c>
      <c r="E21" s="404">
        <f>'C'!P22</f>
        <v>1697.8</v>
      </c>
      <c r="F21" s="405">
        <f>'Sch M 2.2'!$Q77</f>
        <v>9744.43</v>
      </c>
      <c r="G21" s="237">
        <f t="shared" si="0"/>
        <v>0</v>
      </c>
      <c r="H21" s="243">
        <f>'Sch M 2.3'!$Q76</f>
        <v>9744.43</v>
      </c>
      <c r="I21" s="238">
        <f t="shared" si="1"/>
        <v>0</v>
      </c>
      <c r="J21" s="760">
        <f>J14</f>
        <v>0.13569999999999999</v>
      </c>
      <c r="L21" s="242"/>
      <c r="M21" s="238"/>
      <c r="N21" s="233"/>
      <c r="O21" s="240"/>
    </row>
    <row r="22" spans="1:16" x14ac:dyDescent="0.2">
      <c r="A22" s="231">
        <f t="shared" si="2"/>
        <v>11</v>
      </c>
      <c r="C22" s="222" t="s">
        <v>79</v>
      </c>
      <c r="D22" s="243">
        <f>B!P27</f>
        <v>192</v>
      </c>
      <c r="E22" s="404">
        <f>'C'!P27</f>
        <v>2018.8999999999999</v>
      </c>
      <c r="F22" s="405">
        <f>'Sch M 2.2'!$Q84</f>
        <v>13751.73</v>
      </c>
      <c r="G22" s="237">
        <f t="shared" si="0"/>
        <v>0</v>
      </c>
      <c r="H22" s="243">
        <f>'Sch M 2.3'!$Q83</f>
        <v>13751.73</v>
      </c>
      <c r="I22" s="238">
        <f t="shared" si="1"/>
        <v>0</v>
      </c>
      <c r="J22" s="760">
        <f>J13</f>
        <v>0.14849999999999999</v>
      </c>
      <c r="L22" s="242"/>
      <c r="M22" s="238"/>
      <c r="N22" s="233"/>
      <c r="O22" s="240"/>
    </row>
    <row r="23" spans="1:16" x14ac:dyDescent="0.2">
      <c r="A23" s="231">
        <f t="shared" si="2"/>
        <v>12</v>
      </c>
      <c r="C23" s="222" t="s">
        <v>153</v>
      </c>
      <c r="D23" s="243">
        <f>B!P47</f>
        <v>12</v>
      </c>
      <c r="E23" s="404">
        <f>'C'!P47</f>
        <v>605.19999999999993</v>
      </c>
      <c r="F23" s="405">
        <f>'Sch M 2.2'!$Q134</f>
        <v>211.84000000000003</v>
      </c>
      <c r="G23" s="237">
        <f t="shared" si="0"/>
        <v>0</v>
      </c>
      <c r="H23" s="243">
        <f>'Sch M 2.3'!$Q131</f>
        <v>211.84000000000003</v>
      </c>
      <c r="I23" s="238">
        <f t="shared" si="1"/>
        <v>0</v>
      </c>
      <c r="J23" s="760">
        <f>J13</f>
        <v>0.14849999999999999</v>
      </c>
      <c r="L23" s="242"/>
      <c r="M23" s="238"/>
      <c r="N23" s="233"/>
      <c r="O23" s="240"/>
    </row>
    <row r="24" spans="1:16" x14ac:dyDescent="0.2">
      <c r="A24" s="231">
        <f t="shared" si="2"/>
        <v>13</v>
      </c>
      <c r="C24" s="222" t="s">
        <v>154</v>
      </c>
      <c r="D24" s="243">
        <f>B!P52</f>
        <v>12</v>
      </c>
      <c r="E24" s="404">
        <f>'C'!P52</f>
        <v>710.9</v>
      </c>
      <c r="F24" s="405">
        <f>'Sch M 2.2'!$Q141</f>
        <v>248.84000000000003</v>
      </c>
      <c r="G24" s="237">
        <f t="shared" si="0"/>
        <v>0</v>
      </c>
      <c r="H24" s="243">
        <f>'Sch M 2.3'!$Q138</f>
        <v>248.84000000000003</v>
      </c>
      <c r="I24" s="238">
        <f t="shared" si="1"/>
        <v>0</v>
      </c>
      <c r="J24" s="760">
        <f>J14</f>
        <v>0.13569999999999999</v>
      </c>
      <c r="L24" s="242"/>
      <c r="M24" s="238"/>
      <c r="N24" s="233"/>
      <c r="O24" s="240"/>
    </row>
    <row r="25" spans="1:16" x14ac:dyDescent="0.2">
      <c r="A25" s="231">
        <f t="shared" si="2"/>
        <v>14</v>
      </c>
      <c r="C25" s="222" t="s">
        <v>155</v>
      </c>
      <c r="D25" s="243">
        <f>B!P70</f>
        <v>12</v>
      </c>
      <c r="E25" s="404">
        <f>'C'!P71</f>
        <v>714.1</v>
      </c>
      <c r="F25" s="405">
        <f>'Sch M 2.2'!$Q148</f>
        <v>255.82</v>
      </c>
      <c r="G25" s="237">
        <f t="shared" si="0"/>
        <v>0</v>
      </c>
      <c r="H25" s="243">
        <f>'Sch M 2.3'!$Q145</f>
        <v>255.82</v>
      </c>
      <c r="I25" s="238">
        <f t="shared" si="1"/>
        <v>0</v>
      </c>
      <c r="J25" s="760">
        <f>J13</f>
        <v>0.14849999999999999</v>
      </c>
      <c r="L25" s="242"/>
      <c r="M25" s="238"/>
      <c r="N25" s="233"/>
      <c r="O25" s="240"/>
    </row>
    <row r="26" spans="1:16" x14ac:dyDescent="0.2">
      <c r="A26" s="231">
        <f t="shared" si="2"/>
        <v>15</v>
      </c>
      <c r="C26" s="222" t="s">
        <v>156</v>
      </c>
      <c r="D26" s="243">
        <f>B!P75</f>
        <v>12</v>
      </c>
      <c r="E26" s="404">
        <f>'C'!P76</f>
        <v>257.59999999999997</v>
      </c>
      <c r="F26" s="405">
        <f>'Sch M 2.2'!$Q155</f>
        <v>103.04000000000002</v>
      </c>
      <c r="G26" s="237">
        <f t="shared" si="0"/>
        <v>0</v>
      </c>
      <c r="H26" s="243">
        <f>'Sch M 2.3'!$Q152</f>
        <v>103.04000000000002</v>
      </c>
      <c r="I26" s="238">
        <f t="shared" si="1"/>
        <v>0</v>
      </c>
      <c r="J26" s="760">
        <f>J13</f>
        <v>0.14849999999999999</v>
      </c>
      <c r="L26" s="242"/>
      <c r="M26" s="238"/>
      <c r="N26" s="233"/>
      <c r="O26" s="240"/>
    </row>
    <row r="27" spans="1:16" x14ac:dyDescent="0.2">
      <c r="A27" s="231">
        <f t="shared" si="2"/>
        <v>16</v>
      </c>
      <c r="C27" s="222" t="s">
        <v>73</v>
      </c>
      <c r="D27" s="243">
        <f>B!P222</f>
        <v>36</v>
      </c>
      <c r="E27" s="404">
        <f>'C'!P332</f>
        <v>680981</v>
      </c>
      <c r="F27" s="243">
        <f>'Sch M 2.2'!$Q301</f>
        <v>67640.579999999987</v>
      </c>
      <c r="G27" s="237">
        <f t="shared" si="0"/>
        <v>0</v>
      </c>
      <c r="H27" s="243">
        <f>'Sch M 2.3'!$Q297</f>
        <v>67640.579999999987</v>
      </c>
      <c r="I27" s="238">
        <f t="shared" si="1"/>
        <v>0</v>
      </c>
      <c r="J27" s="238">
        <f>ROUND((G27+G30)/(F27+F30),4)</f>
        <v>0</v>
      </c>
      <c r="L27" s="242"/>
      <c r="M27" s="238"/>
      <c r="N27" s="233"/>
      <c r="O27" s="240"/>
    </row>
    <row r="28" spans="1:16" x14ac:dyDescent="0.2">
      <c r="A28" s="231">
        <f t="shared" si="2"/>
        <v>17</v>
      </c>
      <c r="C28" s="219" t="s">
        <v>98</v>
      </c>
      <c r="D28" s="243">
        <f>B!P228</f>
        <v>12</v>
      </c>
      <c r="E28" s="404">
        <f>'C'!P337</f>
        <v>541812</v>
      </c>
      <c r="F28" s="243">
        <f>'Sch M 2.2'!$Q308</f>
        <v>224062.07999999999</v>
      </c>
      <c r="G28" s="237">
        <f t="shared" si="0"/>
        <v>0</v>
      </c>
      <c r="H28" s="243">
        <f>'Sch M 2.3'!$Q304</f>
        <v>224062.07999999999</v>
      </c>
      <c r="I28" s="238">
        <f t="shared" si="1"/>
        <v>0</v>
      </c>
      <c r="J28" s="760">
        <f>J15</f>
        <v>0.17249999999999999</v>
      </c>
      <c r="L28" s="242"/>
      <c r="M28" s="238"/>
      <c r="N28" s="233"/>
      <c r="O28" s="240"/>
    </row>
    <row r="29" spans="1:16" x14ac:dyDescent="0.2">
      <c r="A29" s="231">
        <f t="shared" si="2"/>
        <v>18</v>
      </c>
      <c r="C29" s="219" t="s">
        <v>99</v>
      </c>
      <c r="D29" s="243">
        <f>B!P234</f>
        <v>12</v>
      </c>
      <c r="E29" s="404">
        <f>'C'!P355</f>
        <v>533988</v>
      </c>
      <c r="F29" s="243">
        <f>'Sch M 2.2'!$Q315</f>
        <v>221010.72000000003</v>
      </c>
      <c r="G29" s="237">
        <f t="shared" si="0"/>
        <v>0</v>
      </c>
      <c r="H29" s="243">
        <f>'Sch M 2.3'!$Q311</f>
        <v>221010.72000000003</v>
      </c>
      <c r="I29" s="238">
        <f t="shared" si="1"/>
        <v>0</v>
      </c>
      <c r="J29" s="760">
        <f>J15</f>
        <v>0.17249999999999999</v>
      </c>
      <c r="L29" s="242"/>
      <c r="M29" s="238"/>
      <c r="N29" s="233"/>
      <c r="O29" s="240"/>
    </row>
    <row r="30" spans="1:16" x14ac:dyDescent="0.2">
      <c r="A30" s="231">
        <f t="shared" si="2"/>
        <v>19</v>
      </c>
      <c r="C30" s="219" t="s">
        <v>100</v>
      </c>
      <c r="D30" s="243">
        <f>B!P240</f>
        <v>36</v>
      </c>
      <c r="E30" s="404">
        <f>'C'!P360</f>
        <v>4689510</v>
      </c>
      <c r="F30" s="243">
        <f>'Sch M 2.2'!$Q322</f>
        <v>411572.36</v>
      </c>
      <c r="G30" s="237">
        <f t="shared" si="0"/>
        <v>0</v>
      </c>
      <c r="H30" s="243">
        <f>'Sch M 2.3'!$Q318</f>
        <v>411572.36</v>
      </c>
      <c r="I30" s="238">
        <f t="shared" si="1"/>
        <v>0</v>
      </c>
      <c r="J30" s="760">
        <f>J27</f>
        <v>0</v>
      </c>
      <c r="L30" s="242"/>
      <c r="M30" s="238"/>
      <c r="N30" s="233"/>
      <c r="O30" s="240"/>
    </row>
    <row r="31" spans="1:16" x14ac:dyDescent="0.2">
      <c r="A31" s="231">
        <f t="shared" si="2"/>
        <v>20</v>
      </c>
      <c r="C31" s="219" t="s">
        <v>138</v>
      </c>
      <c r="D31" s="243">
        <f>B!P246</f>
        <v>12</v>
      </c>
      <c r="E31" s="404">
        <f>'C'!P366</f>
        <v>420000</v>
      </c>
      <c r="F31" s="243">
        <f>'Sch M 2.2'!$Q329</f>
        <v>192155.4</v>
      </c>
      <c r="G31" s="237">
        <f t="shared" si="0"/>
        <v>0</v>
      </c>
      <c r="H31" s="243">
        <f>'Sch M 2.3'!$Q325</f>
        <v>192155.4</v>
      </c>
      <c r="I31" s="238">
        <f t="shared" si="1"/>
        <v>0</v>
      </c>
      <c r="J31" s="760">
        <f>J27</f>
        <v>0</v>
      </c>
      <c r="L31" s="242"/>
      <c r="M31" s="238"/>
      <c r="N31" s="233"/>
      <c r="O31" s="240"/>
    </row>
    <row r="32" spans="1:16" x14ac:dyDescent="0.2">
      <c r="A32" s="231">
        <f>A31+1</f>
        <v>21</v>
      </c>
      <c r="C32" s="219" t="s">
        <v>101</v>
      </c>
      <c r="D32" s="243">
        <f>B!P271</f>
        <v>12</v>
      </c>
      <c r="E32" s="404">
        <f>'C'!P405</f>
        <v>1580000</v>
      </c>
      <c r="F32" s="243">
        <f>'Sch M 2.2'!Q363</f>
        <v>666000.40000000014</v>
      </c>
      <c r="G32" s="237">
        <f t="shared" si="0"/>
        <v>0</v>
      </c>
      <c r="H32" s="243">
        <f>'Sch M 2.3'!$Q359</f>
        <v>666000.40000000014</v>
      </c>
      <c r="I32" s="238">
        <f t="shared" si="1"/>
        <v>0</v>
      </c>
      <c r="J32" s="760">
        <f>J15</f>
        <v>0.17249999999999999</v>
      </c>
      <c r="L32" s="242"/>
      <c r="M32" s="238"/>
      <c r="N32" s="233"/>
      <c r="O32" s="240"/>
    </row>
    <row r="33" spans="1:16" x14ac:dyDescent="0.2">
      <c r="A33" s="231"/>
      <c r="D33" s="243"/>
      <c r="E33" s="404"/>
      <c r="F33" s="243"/>
      <c r="G33" s="237"/>
      <c r="H33" s="243"/>
      <c r="I33" s="238"/>
      <c r="L33" s="242"/>
      <c r="M33" s="238"/>
      <c r="N33" s="233"/>
      <c r="O33" s="240"/>
    </row>
    <row r="34" spans="1:16" x14ac:dyDescent="0.2">
      <c r="A34" s="231">
        <f>A32+1</f>
        <v>22</v>
      </c>
      <c r="C34" s="223" t="s">
        <v>102</v>
      </c>
      <c r="D34" s="243"/>
      <c r="E34" s="244"/>
      <c r="F34" s="405"/>
      <c r="G34" s="237"/>
      <c r="H34" s="243"/>
      <c r="I34" s="238"/>
      <c r="L34" s="242"/>
      <c r="M34" s="238"/>
      <c r="N34" s="233"/>
      <c r="O34" s="240"/>
    </row>
    <row r="35" spans="1:16" x14ac:dyDescent="0.2">
      <c r="A35" s="231"/>
      <c r="D35" s="243"/>
      <c r="E35" s="244"/>
      <c r="F35" s="405"/>
      <c r="G35" s="237"/>
      <c r="H35" s="243"/>
      <c r="I35" s="238"/>
      <c r="L35" s="242"/>
      <c r="M35" s="238"/>
      <c r="N35" s="233"/>
      <c r="O35" s="240"/>
    </row>
    <row r="36" spans="1:16" x14ac:dyDescent="0.2">
      <c r="A36" s="231">
        <f>A34+1</f>
        <v>23</v>
      </c>
      <c r="C36" s="219" t="s">
        <v>524</v>
      </c>
      <c r="D36" s="243"/>
      <c r="E36" s="244"/>
      <c r="F36" s="405">
        <f>'Sch M 2.2'!Q369</f>
        <v>476000</v>
      </c>
      <c r="G36" s="237">
        <f t="shared" ref="G36:G40" si="3">H36-F36</f>
        <v>69732</v>
      </c>
      <c r="H36" s="243">
        <f>'Sch M 2.3'!Q365</f>
        <v>545732</v>
      </c>
      <c r="I36" s="238">
        <f t="shared" ref="I36:I40" si="4">IF(F36=0,0,ROUND(G36/F36,4))</f>
        <v>0.14649999999999999</v>
      </c>
      <c r="L36" s="242"/>
      <c r="M36" s="238"/>
      <c r="N36" s="233"/>
      <c r="O36" s="240"/>
    </row>
    <row r="37" spans="1:16" x14ac:dyDescent="0.2">
      <c r="A37" s="231">
        <f>A36+1</f>
        <v>24</v>
      </c>
      <c r="C37" s="219" t="s">
        <v>103</v>
      </c>
      <c r="D37" s="243"/>
      <c r="E37" s="244"/>
      <c r="F37" s="405">
        <f>'Sch M 2.2'!Q370</f>
        <v>137000</v>
      </c>
      <c r="G37" s="237">
        <f t="shared" si="3"/>
        <v>0</v>
      </c>
      <c r="H37" s="243">
        <f>'Sch M 2.3'!Q366</f>
        <v>137000</v>
      </c>
      <c r="I37" s="238">
        <f t="shared" si="4"/>
        <v>0</v>
      </c>
      <c r="L37" s="242"/>
      <c r="M37" s="238"/>
      <c r="N37" s="233"/>
      <c r="O37" s="240"/>
    </row>
    <row r="38" spans="1:16" x14ac:dyDescent="0.2">
      <c r="A38" s="231">
        <f t="shared" ref="A38:A40" si="5">A37+1</f>
        <v>25</v>
      </c>
      <c r="C38" s="219" t="s">
        <v>104</v>
      </c>
      <c r="D38" s="243"/>
      <c r="E38" s="244"/>
      <c r="F38" s="405">
        <f>'Sch M 2.2'!Q371</f>
        <v>72000</v>
      </c>
      <c r="G38" s="237">
        <f t="shared" si="3"/>
        <v>0</v>
      </c>
      <c r="H38" s="243">
        <f>'Sch M 2.3'!Q367</f>
        <v>72000</v>
      </c>
      <c r="I38" s="238">
        <f t="shared" si="4"/>
        <v>0</v>
      </c>
      <c r="L38" s="242"/>
      <c r="M38" s="238"/>
      <c r="N38" s="233"/>
      <c r="O38" s="240"/>
    </row>
    <row r="39" spans="1:16" x14ac:dyDescent="0.2">
      <c r="A39" s="231">
        <f t="shared" si="5"/>
        <v>26</v>
      </c>
      <c r="C39" s="219" t="s">
        <v>525</v>
      </c>
      <c r="D39" s="243"/>
      <c r="E39" s="244"/>
      <c r="F39" s="405">
        <f>'Sch M 2.2'!Q372</f>
        <v>0</v>
      </c>
      <c r="G39" s="237">
        <f t="shared" si="3"/>
        <v>0</v>
      </c>
      <c r="H39" s="243">
        <f>'Sch M 2.3'!Q368</f>
        <v>0</v>
      </c>
      <c r="I39" s="238">
        <f t="shared" si="4"/>
        <v>0</v>
      </c>
      <c r="L39" s="242"/>
      <c r="M39" s="238"/>
      <c r="N39" s="233"/>
      <c r="O39" s="240"/>
    </row>
    <row r="40" spans="1:16" x14ac:dyDescent="0.2">
      <c r="A40" s="231">
        <f t="shared" si="5"/>
        <v>27</v>
      </c>
      <c r="C40" s="219" t="s">
        <v>105</v>
      </c>
      <c r="D40" s="243"/>
      <c r="E40" s="244"/>
      <c r="F40" s="405">
        <f>'Sch M 2.2'!Q373</f>
        <v>515000</v>
      </c>
      <c r="G40" s="237">
        <f t="shared" si="3"/>
        <v>0</v>
      </c>
      <c r="H40" s="243">
        <f>'Sch M 2.3'!Q369</f>
        <v>515000</v>
      </c>
      <c r="I40" s="238">
        <f t="shared" si="4"/>
        <v>0</v>
      </c>
      <c r="L40" s="242"/>
      <c r="M40" s="238"/>
      <c r="N40" s="233"/>
      <c r="O40" s="240"/>
    </row>
    <row r="41" spans="1:16" x14ac:dyDescent="0.2">
      <c r="A41" s="231"/>
      <c r="D41" s="240"/>
      <c r="E41" s="245"/>
      <c r="G41" s="222"/>
      <c r="H41" s="222"/>
      <c r="I41" s="222"/>
      <c r="L41" s="242"/>
      <c r="M41" s="222"/>
      <c r="O41" s="240"/>
    </row>
    <row r="42" spans="1:16" ht="10.8" thickBot="1" x14ac:dyDescent="0.25">
      <c r="A42" s="231">
        <f>A40+1</f>
        <v>28</v>
      </c>
      <c r="C42" s="879" t="s">
        <v>429</v>
      </c>
      <c r="D42" s="880">
        <f>SUM(D13:D40)</f>
        <v>1631753</v>
      </c>
      <c r="E42" s="881">
        <f>SUM(E13:E40)</f>
        <v>29066442.600000001</v>
      </c>
      <c r="F42" s="880">
        <f>SUM(F13:F40)</f>
        <v>92849806.820000023</v>
      </c>
      <c r="G42" s="880">
        <f t="shared" ref="G42:H42" si="6">SUM(G13:G40)</f>
        <v>13407971.749999985</v>
      </c>
      <c r="H42" s="880">
        <f t="shared" si="6"/>
        <v>106257778.57000001</v>
      </c>
      <c r="I42" s="882">
        <f>ROUND(G42/F42,4)</f>
        <v>0.1444</v>
      </c>
      <c r="L42" s="242"/>
      <c r="M42" s="238"/>
      <c r="O42" s="240"/>
      <c r="P42" s="240"/>
    </row>
    <row r="43" spans="1:16" ht="10.8" thickTop="1" x14ac:dyDescent="0.2">
      <c r="A43" s="231"/>
      <c r="D43" s="249"/>
      <c r="E43" s="249"/>
      <c r="F43" s="250"/>
      <c r="G43" s="250"/>
      <c r="H43" s="250"/>
      <c r="I43" s="251"/>
      <c r="J43" s="251"/>
      <c r="K43" s="238"/>
      <c r="L43" s="238"/>
      <c r="M43" s="252"/>
      <c r="O43" s="240"/>
    </row>
    <row r="44" spans="1:16" x14ac:dyDescent="0.2">
      <c r="A44" s="978" t="str">
        <f>A1</f>
        <v>Columbia Gas of Kentucky, Inc.</v>
      </c>
      <c r="B44" s="978"/>
      <c r="C44" s="978"/>
      <c r="D44" s="978"/>
      <c r="E44" s="978"/>
      <c r="F44" s="978"/>
      <c r="G44" s="978"/>
      <c r="H44" s="978"/>
      <c r="I44" s="740"/>
      <c r="J44" s="220" t="s">
        <v>647</v>
      </c>
      <c r="L44" s="238"/>
      <c r="M44" s="252"/>
      <c r="O44" s="240"/>
    </row>
    <row r="45" spans="1:16" x14ac:dyDescent="0.2">
      <c r="A45" s="999" t="s">
        <v>423</v>
      </c>
      <c r="B45" s="999"/>
      <c r="C45" s="999"/>
      <c r="D45" s="999"/>
      <c r="E45" s="999"/>
      <c r="F45" s="999"/>
      <c r="G45" s="999"/>
      <c r="H45" s="999"/>
      <c r="I45" s="744"/>
      <c r="J45" s="220" t="s">
        <v>630</v>
      </c>
      <c r="L45" s="238"/>
      <c r="M45" s="252"/>
      <c r="O45" s="240"/>
    </row>
    <row r="46" spans="1:16" x14ac:dyDescent="0.2">
      <c r="A46" s="978" t="str">
        <f>A!$A$3</f>
        <v>For the 12 Months Ended December 31, 2017</v>
      </c>
      <c r="B46" s="978"/>
      <c r="C46" s="978"/>
      <c r="D46" s="978"/>
      <c r="E46" s="978"/>
      <c r="F46" s="978"/>
      <c r="G46" s="978"/>
      <c r="H46" s="978"/>
      <c r="I46" s="740"/>
      <c r="J46" s="221" t="s">
        <v>450</v>
      </c>
      <c r="L46" s="238"/>
      <c r="M46" s="252"/>
      <c r="O46" s="240"/>
    </row>
    <row r="47" spans="1:16" x14ac:dyDescent="0.2">
      <c r="I47" s="222"/>
      <c r="J47" s="222"/>
      <c r="L47" s="238"/>
      <c r="M47" s="252"/>
      <c r="O47" s="240"/>
    </row>
    <row r="48" spans="1:16" x14ac:dyDescent="0.2">
      <c r="C48" s="223"/>
      <c r="F48" s="741" t="s">
        <v>145</v>
      </c>
      <c r="G48" s="741" t="s">
        <v>30</v>
      </c>
      <c r="H48" s="741" t="s">
        <v>9</v>
      </c>
      <c r="I48" s="740" t="s">
        <v>30</v>
      </c>
      <c r="J48" s="740" t="s">
        <v>30</v>
      </c>
      <c r="L48" s="238"/>
      <c r="M48" s="252"/>
      <c r="O48" s="240"/>
    </row>
    <row r="49" spans="1:15" x14ac:dyDescent="0.2">
      <c r="A49" s="741" t="s">
        <v>1</v>
      </c>
      <c r="B49" s="741"/>
      <c r="C49" s="223"/>
      <c r="D49" s="741" t="s">
        <v>5</v>
      </c>
      <c r="E49" s="741" t="s">
        <v>5</v>
      </c>
      <c r="F49" s="741" t="s">
        <v>47</v>
      </c>
      <c r="G49" s="741" t="s">
        <v>425</v>
      </c>
      <c r="H49" s="741" t="s">
        <v>30</v>
      </c>
      <c r="I49" s="225" t="s">
        <v>147</v>
      </c>
      <c r="J49" s="740" t="s">
        <v>533</v>
      </c>
      <c r="L49" s="238"/>
      <c r="M49" s="252"/>
      <c r="O49" s="240"/>
    </row>
    <row r="50" spans="1:15" x14ac:dyDescent="0.2">
      <c r="A50" s="226" t="s">
        <v>3</v>
      </c>
      <c r="B50" s="226"/>
      <c r="C50" s="227" t="s">
        <v>4</v>
      </c>
      <c r="D50" s="226" t="s">
        <v>25</v>
      </c>
      <c r="E50" s="226" t="s">
        <v>26</v>
      </c>
      <c r="F50" s="227" t="s">
        <v>48</v>
      </c>
      <c r="G50" s="227" t="s">
        <v>147</v>
      </c>
      <c r="H50" s="227" t="s">
        <v>20</v>
      </c>
      <c r="I50" s="228" t="s">
        <v>426</v>
      </c>
      <c r="J50" s="281" t="s">
        <v>534</v>
      </c>
      <c r="L50" s="238"/>
      <c r="M50" s="252"/>
      <c r="O50" s="240"/>
    </row>
    <row r="51" spans="1:15" x14ac:dyDescent="0.2">
      <c r="C51" s="223"/>
      <c r="D51" s="741" t="s">
        <v>6</v>
      </c>
      <c r="E51" s="742" t="s">
        <v>7</v>
      </c>
      <c r="F51" s="742" t="s">
        <v>21</v>
      </c>
      <c r="G51" s="742" t="s">
        <v>8</v>
      </c>
      <c r="H51" s="742" t="s">
        <v>427</v>
      </c>
      <c r="I51" s="743" t="s">
        <v>395</v>
      </c>
      <c r="J51" s="742" t="s">
        <v>428</v>
      </c>
      <c r="L51" s="238"/>
      <c r="M51" s="252"/>
      <c r="O51" s="240"/>
    </row>
    <row r="52" spans="1:15" x14ac:dyDescent="0.2">
      <c r="D52" s="741"/>
      <c r="E52" s="741" t="s">
        <v>22</v>
      </c>
      <c r="F52" s="741" t="s">
        <v>24</v>
      </c>
      <c r="G52" s="741" t="s">
        <v>24</v>
      </c>
      <c r="H52" s="741" t="s">
        <v>24</v>
      </c>
      <c r="I52" s="740" t="s">
        <v>148</v>
      </c>
      <c r="L52" s="238"/>
      <c r="M52" s="252"/>
      <c r="O52" s="240"/>
    </row>
    <row r="53" spans="1:15" x14ac:dyDescent="0.2">
      <c r="D53" s="742" t="s">
        <v>452</v>
      </c>
      <c r="E53" s="742" t="s">
        <v>453</v>
      </c>
      <c r="F53" s="742" t="s">
        <v>454</v>
      </c>
      <c r="G53" s="742"/>
      <c r="H53" s="742" t="s">
        <v>455</v>
      </c>
      <c r="I53" s="740"/>
      <c r="L53" s="238"/>
      <c r="M53" s="252"/>
      <c r="O53" s="240"/>
    </row>
    <row r="54" spans="1:15" x14ac:dyDescent="0.2">
      <c r="A54" s="231"/>
      <c r="D54" s="249"/>
      <c r="E54" s="249"/>
      <c r="F54" s="250"/>
      <c r="G54" s="250"/>
      <c r="H54" s="250"/>
      <c r="I54" s="251"/>
      <c r="J54" s="251"/>
      <c r="K54" s="238"/>
      <c r="L54" s="238"/>
      <c r="M54" s="252"/>
      <c r="O54" s="240"/>
    </row>
    <row r="55" spans="1:15" x14ac:dyDescent="0.2">
      <c r="A55" s="231">
        <v>1</v>
      </c>
      <c r="C55" s="223" t="s">
        <v>627</v>
      </c>
      <c r="D55" s="240"/>
      <c r="F55" s="240"/>
      <c r="I55" s="222"/>
      <c r="J55" s="222"/>
      <c r="K55" s="222"/>
      <c r="L55" s="222"/>
    </row>
    <row r="56" spans="1:15" x14ac:dyDescent="0.2">
      <c r="A56" s="231"/>
      <c r="D56" s="240"/>
      <c r="I56" s="222"/>
      <c r="J56" s="222"/>
      <c r="K56" s="222"/>
      <c r="L56" s="222"/>
    </row>
    <row r="57" spans="1:15" x14ac:dyDescent="0.2">
      <c r="A57" s="231">
        <f>A55+1</f>
        <v>2</v>
      </c>
      <c r="C57" s="219" t="str">
        <f t="shared" ref="C57:E76" si="7">C13</f>
        <v>GSR/GTR Residential</v>
      </c>
      <c r="D57" s="234">
        <f t="shared" si="7"/>
        <v>1462612</v>
      </c>
      <c r="E57" s="235">
        <f t="shared" si="7"/>
        <v>7955080.5000000009</v>
      </c>
      <c r="F57" s="406">
        <f>'Sch M 2.2'!Q401+'Sch M 2.2'!Q405+'Sch M 2.2'!Q824+'Sch M 2.2'!Q828+'Sch M 2.2'!Q402+'Sch M 2.2'!Q825</f>
        <v>43261042.460000001</v>
      </c>
      <c r="G57" s="237">
        <f t="shared" ref="G57:G76" si="8">H57-F57</f>
        <v>8720967.2400000021</v>
      </c>
      <c r="H57" s="237">
        <f>'Sch M 2.3'!Q398+'Sch M 2.3'!Q402+'Sch M 2.3'!Q823+'Sch M 2.3'!Q827+'Sch M 2.3'!Q399+'Sch M 2.3'!Q824</f>
        <v>51982009.700000003</v>
      </c>
      <c r="I57" s="238">
        <f t="shared" ref="I57:I76" si="9">IF(F57=0,0,ROUND(G57/F57,4))</f>
        <v>0.2016</v>
      </c>
      <c r="J57" s="238">
        <f>ROUND((G57+G66+G69+G70+G62+G63+G64+G67)/(F57+F66+F69+F70+F62+F63+F64+F67),4)</f>
        <v>0.20150000000000001</v>
      </c>
      <c r="K57" s="222"/>
      <c r="M57" s="252"/>
    </row>
    <row r="58" spans="1:15" x14ac:dyDescent="0.2">
      <c r="A58" s="231">
        <f>A57+1</f>
        <v>3</v>
      </c>
      <c r="C58" s="219" t="str">
        <f t="shared" si="7"/>
        <v>GSO/GTO/GDS</v>
      </c>
      <c r="D58" s="234">
        <f t="shared" si="7"/>
        <v>167676</v>
      </c>
      <c r="E58" s="235">
        <f t="shared" si="7"/>
        <v>5748554.7000000011</v>
      </c>
      <c r="F58" s="287">
        <f>'Sch M 2.2'!Q652+'Sch M 2.2'!Q666+'Sch M 2.2'!Q702+'Sch M 2.2'!Q716+'Sch M 2.2'!Q849+'Sch M 2.2'!Q863+'Sch M 2.2'!Q894+'Sch M 2.2'!Q908+'Sch M 2.2'!Q1009+'Sch M 2.2'!Q1024+'Sch M 2.2'!Q1037+'Sch M 2.2'!Q1052+'Sch M 2.2'!Q1010+'Sch M 2.2'!Q1038+'Sch M 2.2'!Q850+'Sch M 2.2'!Q895+'Sch M 2.2'!Q653+'Sch M 2.2'!Q703+'Sch M 2.2'!Q1011+'Sch M 2.2'!Q1039</f>
        <v>18733089.300000001</v>
      </c>
      <c r="G58" s="242">
        <f t="shared" si="8"/>
        <v>3591090.1399999969</v>
      </c>
      <c r="H58" s="242">
        <f>'Sch M 2.3'!Q649+'Sch M 2.3'!Q663+'Sch M 2.3'!Q700+'Sch M 2.3'!Q714+'Sch M 2.3'!Q848+'Sch M 2.3'!Q862+'Sch M 2.3'!Q1006+'Sch M 2.3'!Q1021+'Sch M 2.3'!Q892+'Sch M 2.3'!Q906+'Sch M 2.3'!Q1034+'Sch M 2.3'!Q1049+'Sch M 2.3'!Q1007+'Sch M 2.3'!Q1035+'Sch M 2.3'!Q650+'Sch M 2.3'!Q701+'Sch M 2.3'!Q849+'Sch M 2.3'!Q893+'Sch M 2.3'!Q1008+'Sch M 2.3'!Q1036</f>
        <v>22324179.439999998</v>
      </c>
      <c r="I58" s="238">
        <f t="shared" si="9"/>
        <v>0.19170000000000001</v>
      </c>
      <c r="J58" s="238">
        <f>ROUND((G58+G65+G68)/(F58+F65+F68),4)</f>
        <v>0.19159999999999999</v>
      </c>
      <c r="K58" s="222"/>
      <c r="L58" s="238"/>
      <c r="M58" s="252"/>
    </row>
    <row r="59" spans="1:15" x14ac:dyDescent="0.2">
      <c r="A59" s="231">
        <f t="shared" ref="A59:A76" si="10">A58+1</f>
        <v>4</v>
      </c>
      <c r="C59" s="219" t="str">
        <f t="shared" si="7"/>
        <v>DS/SAS</v>
      </c>
      <c r="D59" s="234">
        <f t="shared" si="7"/>
        <v>896</v>
      </c>
      <c r="E59" s="235">
        <f t="shared" si="7"/>
        <v>6897867.4000000004</v>
      </c>
      <c r="F59" s="287">
        <f>'Sch M 2.2'!Q1211+'Sch M 2.2'!Q1224+'Sch M 2.2'!Q979+'Sch M 2.2'!Q966+'Sch M 2.2'!Q939+'Sch M 2.2'!Q952+'Sch M 2.2'!Q940+'Sch M 2.2'!Q967+'Sch M 2.2'!Q1212+'Sch M 2.2'!Q968+'Sch M 2.2'!Q941+'Sch M 2.2'!Q1213</f>
        <v>4621275.5</v>
      </c>
      <c r="G59" s="242">
        <f t="shared" si="8"/>
        <v>1021914.5199999996</v>
      </c>
      <c r="H59" s="242">
        <f>'Sch M 2.3'!Q936+'Sch M 2.3'!Q949+'Sch M 2.3'!Q963+'Sch M 2.3'!Q976+'Sch M 2.3'!Q1208+'Sch M 2.3'!Q1219+'Sch M 2.3'!Q937+'Sch M 2.3'!Q964+'Sch M 2.3'!Q1208+'Sch M 2.3'!Q938+'Sch M 2.3'!Q965+'Sch M 2.3'!Q1210</f>
        <v>5643190.0199999996</v>
      </c>
      <c r="I59" s="238">
        <f t="shared" si="9"/>
        <v>0.22109999999999999</v>
      </c>
      <c r="J59" s="238">
        <f>ROUND((G59+G60+G72+G73+G75+G76)/(F59+F60+F72+F73+F75+F76),4)</f>
        <v>0.17249999999999999</v>
      </c>
      <c r="K59" s="222"/>
      <c r="L59" s="238"/>
      <c r="M59" s="252"/>
    </row>
    <row r="60" spans="1:15" x14ac:dyDescent="0.2">
      <c r="A60" s="231">
        <f t="shared" si="10"/>
        <v>5</v>
      </c>
      <c r="C60" s="219" t="str">
        <f t="shared" si="7"/>
        <v>IS</v>
      </c>
      <c r="D60" s="234">
        <f t="shared" si="7"/>
        <v>0</v>
      </c>
      <c r="E60" s="235">
        <f t="shared" si="7"/>
        <v>0</v>
      </c>
      <c r="F60" s="287">
        <f>'Sch M 2.2'!Q753+'Sch M 2.2'!Q765+'Sch M 2.2'!Q754</f>
        <v>0</v>
      </c>
      <c r="G60" s="242">
        <f t="shared" si="8"/>
        <v>0</v>
      </c>
      <c r="H60" s="242">
        <f>'Sch M 2.3'!Q750+'Sch M 2.3'!Q762+'Sch M 2.3'!Q751</f>
        <v>0</v>
      </c>
      <c r="I60" s="238">
        <f t="shared" si="9"/>
        <v>0</v>
      </c>
      <c r="J60" s="850">
        <f>J59</f>
        <v>0.17249999999999999</v>
      </c>
      <c r="K60" s="222"/>
      <c r="L60" s="238"/>
      <c r="M60" s="252"/>
    </row>
    <row r="61" spans="1:15" x14ac:dyDescent="0.2">
      <c r="A61" s="231">
        <f t="shared" si="10"/>
        <v>6</v>
      </c>
      <c r="C61" s="219" t="str">
        <f t="shared" si="7"/>
        <v>IUS</v>
      </c>
      <c r="D61" s="234">
        <f t="shared" si="7"/>
        <v>24</v>
      </c>
      <c r="E61" s="235">
        <f t="shared" si="7"/>
        <v>11320.699999999999</v>
      </c>
      <c r="F61" s="287">
        <f>'Sch M 2.2'!Q784+'Sch M 2.2'!Q788+'Sch M 2.2'!Q785</f>
        <v>22521.41</v>
      </c>
      <c r="G61" s="242">
        <f t="shared" si="8"/>
        <v>4267.8299999999945</v>
      </c>
      <c r="H61" s="242">
        <f>'Sch M 2.3'!Q781+'Sch M 2.3'!Q785+'Sch M 2.3'!Q782</f>
        <v>26789.239999999994</v>
      </c>
      <c r="I61" s="238">
        <f t="shared" si="9"/>
        <v>0.1895</v>
      </c>
      <c r="J61" s="238">
        <f>ROUND(G61/F61,4)</f>
        <v>0.1895</v>
      </c>
      <c r="K61" s="222"/>
      <c r="L61" s="238"/>
      <c r="M61" s="252"/>
    </row>
    <row r="62" spans="1:15" x14ac:dyDescent="0.2">
      <c r="A62" s="231">
        <f t="shared" si="10"/>
        <v>7</v>
      </c>
      <c r="C62" s="219" t="str">
        <f t="shared" si="7"/>
        <v>IN3 Residential</v>
      </c>
      <c r="D62" s="234">
        <f t="shared" si="7"/>
        <v>108</v>
      </c>
      <c r="E62" s="235">
        <f t="shared" si="7"/>
        <v>990.2</v>
      </c>
      <c r="F62" s="287">
        <f>'Sch M 2.2'!Q478+'Sch M 2.2'!Q481</f>
        <v>396.08</v>
      </c>
      <c r="G62" s="242">
        <f t="shared" si="8"/>
        <v>0</v>
      </c>
      <c r="H62" s="242">
        <f>'Sch M 2.3'!Q476+'Sch M 2.3'!Q479</f>
        <v>396.08</v>
      </c>
      <c r="I62" s="238">
        <f t="shared" si="9"/>
        <v>0</v>
      </c>
      <c r="J62" s="850">
        <f>J57</f>
        <v>0.20150000000000001</v>
      </c>
      <c r="K62" s="222"/>
      <c r="L62" s="238"/>
      <c r="M62" s="252"/>
    </row>
    <row r="63" spans="1:15" x14ac:dyDescent="0.2">
      <c r="A63" s="231">
        <f t="shared" si="10"/>
        <v>8</v>
      </c>
      <c r="C63" s="219" t="str">
        <f t="shared" si="7"/>
        <v>IN4</v>
      </c>
      <c r="D63" s="234">
        <f t="shared" si="7"/>
        <v>0</v>
      </c>
      <c r="E63" s="235">
        <f t="shared" si="7"/>
        <v>0</v>
      </c>
      <c r="F63" s="287">
        <f>'Sch M 2.2'!Q495+'Sch M 2.2'!Q498</f>
        <v>0</v>
      </c>
      <c r="G63" s="242">
        <f t="shared" si="8"/>
        <v>0</v>
      </c>
      <c r="H63" s="242">
        <f>'Sch M 2.3'!Q493+'Sch M 2.3'!Q496</f>
        <v>0</v>
      </c>
      <c r="I63" s="238">
        <f t="shared" si="9"/>
        <v>0</v>
      </c>
      <c r="J63" s="850">
        <f>J57</f>
        <v>0.20150000000000001</v>
      </c>
      <c r="K63" s="222"/>
      <c r="L63" s="238"/>
      <c r="M63" s="252"/>
    </row>
    <row r="64" spans="1:15" x14ac:dyDescent="0.2">
      <c r="A64" s="231">
        <f t="shared" si="10"/>
        <v>9</v>
      </c>
      <c r="C64" s="219" t="str">
        <f t="shared" si="7"/>
        <v>IN5</v>
      </c>
      <c r="D64" s="234">
        <f t="shared" si="7"/>
        <v>36</v>
      </c>
      <c r="E64" s="235">
        <f t="shared" si="7"/>
        <v>333.60000000000008</v>
      </c>
      <c r="F64" s="287">
        <f>'Sch M 2.2'!Q529+'Sch M 2.2'!Q532</f>
        <v>200.16</v>
      </c>
      <c r="G64" s="242">
        <f t="shared" si="8"/>
        <v>0</v>
      </c>
      <c r="H64" s="242">
        <f>'Sch M 2.3'!Q527+'Sch M 2.3'!Q530</f>
        <v>200.16</v>
      </c>
      <c r="I64" s="238">
        <f t="shared" si="9"/>
        <v>0</v>
      </c>
      <c r="J64" s="850">
        <f>J57</f>
        <v>0.20150000000000001</v>
      </c>
      <c r="K64" s="222"/>
      <c r="L64" s="238"/>
      <c r="M64" s="252"/>
    </row>
    <row r="65" spans="1:13" x14ac:dyDescent="0.2">
      <c r="A65" s="231">
        <f t="shared" si="10"/>
        <v>10</v>
      </c>
      <c r="C65" s="219" t="str">
        <f t="shared" si="7"/>
        <v>G1C</v>
      </c>
      <c r="D65" s="234">
        <f t="shared" si="7"/>
        <v>41</v>
      </c>
      <c r="E65" s="235">
        <f t="shared" si="7"/>
        <v>1697.8</v>
      </c>
      <c r="F65" s="287">
        <f>'Sch M 2.2'!Q427+'Sch M 2.2'!Q430</f>
        <v>5993.82</v>
      </c>
      <c r="G65" s="242">
        <f t="shared" si="8"/>
        <v>0</v>
      </c>
      <c r="H65" s="242">
        <f>'Sch M 2.3'!Q424+'Sch M 2.3'!Q427</f>
        <v>5993.82</v>
      </c>
      <c r="I65" s="238">
        <f t="shared" si="9"/>
        <v>0</v>
      </c>
      <c r="J65" s="850">
        <f>J58</f>
        <v>0.19159999999999999</v>
      </c>
      <c r="K65" s="222"/>
      <c r="L65" s="238"/>
      <c r="M65" s="252"/>
    </row>
    <row r="66" spans="1:13" x14ac:dyDescent="0.2">
      <c r="A66" s="231">
        <f t="shared" si="10"/>
        <v>11</v>
      </c>
      <c r="C66" s="219" t="str">
        <f t="shared" si="7"/>
        <v>G1R</v>
      </c>
      <c r="D66" s="234">
        <f t="shared" si="7"/>
        <v>192</v>
      </c>
      <c r="E66" s="235">
        <f t="shared" si="7"/>
        <v>2018.8999999999999</v>
      </c>
      <c r="F66" s="287">
        <f>'Sch M 2.2'!Q461+'Sch M 2.2'!Q464</f>
        <v>9291.7800000000007</v>
      </c>
      <c r="G66" s="242">
        <f t="shared" si="8"/>
        <v>0</v>
      </c>
      <c r="H66" s="242">
        <f>'Sch M 2.3'!Q459+'Sch M 2.3'!Q462</f>
        <v>9291.7800000000007</v>
      </c>
      <c r="I66" s="238">
        <f t="shared" si="9"/>
        <v>0</v>
      </c>
      <c r="J66" s="850">
        <f>J57</f>
        <v>0.20150000000000001</v>
      </c>
      <c r="K66" s="222"/>
      <c r="L66" s="238"/>
      <c r="M66" s="252"/>
    </row>
    <row r="67" spans="1:13" x14ac:dyDescent="0.2">
      <c r="A67" s="231">
        <f t="shared" si="10"/>
        <v>12</v>
      </c>
      <c r="C67" s="219" t="str">
        <f t="shared" si="7"/>
        <v>LG2 Residential</v>
      </c>
      <c r="D67" s="234">
        <f t="shared" si="7"/>
        <v>12</v>
      </c>
      <c r="E67" s="235">
        <f t="shared" si="7"/>
        <v>605.19999999999993</v>
      </c>
      <c r="F67" s="287">
        <f>'Sch M 2.2'!Q546+'Sch M 2.2'!Q549</f>
        <v>211.84000000000003</v>
      </c>
      <c r="G67" s="242">
        <f t="shared" si="8"/>
        <v>0</v>
      </c>
      <c r="H67" s="242">
        <f>'Sch M 2.3'!Q544+'Sch M 2.3'!Q547</f>
        <v>211.84000000000003</v>
      </c>
      <c r="I67" s="238">
        <f t="shared" si="9"/>
        <v>0</v>
      </c>
      <c r="J67" s="850">
        <f>J57</f>
        <v>0.20150000000000001</v>
      </c>
      <c r="K67" s="222"/>
      <c r="L67" s="238"/>
      <c r="M67" s="252"/>
    </row>
    <row r="68" spans="1:13" x14ac:dyDescent="0.2">
      <c r="A68" s="231">
        <f t="shared" si="10"/>
        <v>13</v>
      </c>
      <c r="C68" s="219" t="str">
        <f t="shared" si="7"/>
        <v>LG2 Commercial</v>
      </c>
      <c r="D68" s="234">
        <f t="shared" si="7"/>
        <v>12</v>
      </c>
      <c r="E68" s="235">
        <f t="shared" si="7"/>
        <v>710.9</v>
      </c>
      <c r="F68" s="287">
        <f>'Sch M 2.2'!Q563+'Sch M 2.2'!Q566</f>
        <v>248.84000000000003</v>
      </c>
      <c r="G68" s="242">
        <f t="shared" si="8"/>
        <v>0</v>
      </c>
      <c r="H68" s="242">
        <f>'Sch M 2.3'!Q561+'Sch M 2.3'!Q564</f>
        <v>248.84000000000003</v>
      </c>
      <c r="I68" s="238">
        <f t="shared" si="9"/>
        <v>0</v>
      </c>
      <c r="J68" s="850">
        <f>J58</f>
        <v>0.19159999999999999</v>
      </c>
      <c r="K68" s="222"/>
      <c r="L68" s="238"/>
      <c r="M68" s="252"/>
    </row>
    <row r="69" spans="1:13" x14ac:dyDescent="0.2">
      <c r="A69" s="231">
        <f t="shared" si="10"/>
        <v>14</v>
      </c>
      <c r="C69" s="219" t="str">
        <f t="shared" si="7"/>
        <v>LG3 Residential</v>
      </c>
      <c r="D69" s="234">
        <f t="shared" si="7"/>
        <v>12</v>
      </c>
      <c r="E69" s="235">
        <f t="shared" si="7"/>
        <v>714.1</v>
      </c>
      <c r="F69" s="287">
        <f>'Sch M 2.2'!Q596+'Sch M 2.2'!Q605</f>
        <v>255.82</v>
      </c>
      <c r="G69" s="242">
        <f t="shared" si="8"/>
        <v>0</v>
      </c>
      <c r="H69" s="242">
        <f>'Sch M 2.3'!Q594+'Sch M 2.3'!Q603</f>
        <v>255.82</v>
      </c>
      <c r="I69" s="238">
        <f t="shared" si="9"/>
        <v>0</v>
      </c>
      <c r="J69" s="850">
        <f>J57</f>
        <v>0.20150000000000001</v>
      </c>
      <c r="K69" s="222"/>
      <c r="L69" s="238"/>
      <c r="M69" s="252"/>
    </row>
    <row r="70" spans="1:13" x14ac:dyDescent="0.2">
      <c r="A70" s="231">
        <f t="shared" si="10"/>
        <v>15</v>
      </c>
      <c r="C70" s="219" t="str">
        <f t="shared" si="7"/>
        <v>LG4 Residential</v>
      </c>
      <c r="D70" s="234">
        <f t="shared" si="7"/>
        <v>12</v>
      </c>
      <c r="E70" s="235">
        <f t="shared" si="7"/>
        <v>257.59999999999997</v>
      </c>
      <c r="F70" s="287">
        <f>'Sch M 2.2'!Q619+'Sch M 2.2'!Q622</f>
        <v>103.04000000000002</v>
      </c>
      <c r="G70" s="242">
        <f t="shared" si="8"/>
        <v>0</v>
      </c>
      <c r="H70" s="242">
        <f>'Sch M 2.3'!Q616+'Sch M 2.3'!Q619</f>
        <v>103.04000000000002</v>
      </c>
      <c r="I70" s="238">
        <f t="shared" si="9"/>
        <v>0</v>
      </c>
      <c r="J70" s="850">
        <f>J57</f>
        <v>0.20150000000000001</v>
      </c>
      <c r="K70" s="222"/>
      <c r="L70" s="238"/>
      <c r="M70" s="252"/>
    </row>
    <row r="71" spans="1:13" x14ac:dyDescent="0.2">
      <c r="A71" s="231">
        <f t="shared" si="10"/>
        <v>16</v>
      </c>
      <c r="C71" s="219" t="str">
        <f t="shared" si="7"/>
        <v>DS3</v>
      </c>
      <c r="D71" s="234">
        <f t="shared" si="7"/>
        <v>36</v>
      </c>
      <c r="E71" s="235">
        <f t="shared" si="7"/>
        <v>680981</v>
      </c>
      <c r="F71" s="287">
        <f>'Sch M 2.2'!Q1083+'Sch M 2.2'!Q1087+'Sch M 2.2'!Q1084</f>
        <v>67640.579999999987</v>
      </c>
      <c r="G71" s="242">
        <f t="shared" si="8"/>
        <v>0</v>
      </c>
      <c r="H71" s="242">
        <f>'Sch M 2.3'!Q1079+'Sch M 2.3'!Q1083+'Sch M 2.3'!Q1080</f>
        <v>67640.579999999987</v>
      </c>
      <c r="I71" s="238">
        <f t="shared" si="9"/>
        <v>0</v>
      </c>
      <c r="J71" s="238">
        <f>ROUND((G71+G74)/(F71+F74),4)</f>
        <v>0</v>
      </c>
      <c r="K71" s="222"/>
      <c r="L71" s="238"/>
      <c r="M71" s="252"/>
    </row>
    <row r="72" spans="1:13" x14ac:dyDescent="0.2">
      <c r="A72" s="231">
        <f t="shared" si="10"/>
        <v>17</v>
      </c>
      <c r="C72" s="219" t="str">
        <f t="shared" si="7"/>
        <v>FX1</v>
      </c>
      <c r="D72" s="234">
        <f t="shared" si="7"/>
        <v>12</v>
      </c>
      <c r="E72" s="235">
        <f t="shared" si="7"/>
        <v>541812</v>
      </c>
      <c r="F72" s="287">
        <f>'Sch M 2.2'!Q1101+'Sch M 2.2'!Q1105+'Sch M 2.2'!Q1102</f>
        <v>224062.07999999999</v>
      </c>
      <c r="G72" s="242">
        <f t="shared" si="8"/>
        <v>0</v>
      </c>
      <c r="H72" s="242">
        <f>'Sch M 2.3'!Q1097+'Sch M 2.3'!Q1101+'Sch M 2.3'!Q1098</f>
        <v>224062.07999999999</v>
      </c>
      <c r="I72" s="238">
        <f t="shared" si="9"/>
        <v>0</v>
      </c>
      <c r="J72" s="850">
        <f>J59</f>
        <v>0.17249999999999999</v>
      </c>
      <c r="K72" s="222"/>
      <c r="L72" s="238"/>
      <c r="M72" s="252"/>
    </row>
    <row r="73" spans="1:13" x14ac:dyDescent="0.2">
      <c r="A73" s="231">
        <f t="shared" si="10"/>
        <v>18</v>
      </c>
      <c r="C73" s="219" t="str">
        <f t="shared" si="7"/>
        <v>FX2</v>
      </c>
      <c r="D73" s="234">
        <f t="shared" si="7"/>
        <v>12</v>
      </c>
      <c r="E73" s="235">
        <f t="shared" si="7"/>
        <v>533988</v>
      </c>
      <c r="F73" s="287">
        <f>'Sch M 2.2'!Q1119+'Sch M 2.2'!Q1123+'Sch M 2.2'!Q1120</f>
        <v>221010.71999999997</v>
      </c>
      <c r="G73" s="242">
        <f t="shared" si="8"/>
        <v>0</v>
      </c>
      <c r="H73" s="242">
        <f>'Sch M 2.3'!Q1115+'Sch M 2.3'!Q1119+'Sch M 2.3'!Q1116</f>
        <v>221010.71999999997</v>
      </c>
      <c r="I73" s="238">
        <f t="shared" si="9"/>
        <v>0</v>
      </c>
      <c r="J73" s="850">
        <f>J59</f>
        <v>0.17249999999999999</v>
      </c>
      <c r="K73" s="222"/>
      <c r="L73" s="238"/>
      <c r="M73" s="252"/>
    </row>
    <row r="74" spans="1:13" x14ac:dyDescent="0.2">
      <c r="A74" s="231">
        <f t="shared" si="10"/>
        <v>19</v>
      </c>
      <c r="C74" s="219" t="str">
        <f t="shared" si="7"/>
        <v>FX5</v>
      </c>
      <c r="D74" s="234">
        <f t="shared" si="7"/>
        <v>36</v>
      </c>
      <c r="E74" s="235">
        <f t="shared" si="7"/>
        <v>4689510</v>
      </c>
      <c r="F74" s="287">
        <f>'Sch M 2.2'!Q1153+'Sch M 2.2'!Q1157+'Sch M 2.2'!Q1154</f>
        <v>411572.36000000004</v>
      </c>
      <c r="G74" s="242">
        <f t="shared" si="8"/>
        <v>0</v>
      </c>
      <c r="H74" s="242">
        <f>'Sch M 2.3'!Q1149+'Sch M 2.3'!Q1153+'Sch M 2.3'!Q1150</f>
        <v>411572.36000000004</v>
      </c>
      <c r="I74" s="238">
        <f t="shared" si="9"/>
        <v>0</v>
      </c>
      <c r="J74" s="760">
        <f>J71</f>
        <v>0</v>
      </c>
      <c r="L74" s="238"/>
      <c r="M74" s="252"/>
    </row>
    <row r="75" spans="1:13" x14ac:dyDescent="0.2">
      <c r="A75" s="231">
        <f t="shared" si="10"/>
        <v>20</v>
      </c>
      <c r="C75" s="219" t="str">
        <f t="shared" si="7"/>
        <v>FX7</v>
      </c>
      <c r="D75" s="234">
        <f t="shared" si="7"/>
        <v>12</v>
      </c>
      <c r="E75" s="235">
        <f t="shared" si="7"/>
        <v>420000</v>
      </c>
      <c r="F75" s="287">
        <f>'Sch M 2.2'!Q1171+'Sch M 2.2'!Q1181+'Sch M 2.2'!Q1172</f>
        <v>192155.4</v>
      </c>
      <c r="G75" s="242">
        <f t="shared" si="8"/>
        <v>0</v>
      </c>
      <c r="H75" s="242">
        <f>'Sch M 2.3'!Q1167+'Sch M 2.3'!Q1177+'Sch M 2.3'!Q1168</f>
        <v>192155.4</v>
      </c>
      <c r="I75" s="238">
        <f t="shared" si="9"/>
        <v>0</v>
      </c>
      <c r="J75" s="760">
        <f>J71</f>
        <v>0</v>
      </c>
      <c r="L75" s="238"/>
      <c r="M75" s="252"/>
    </row>
    <row r="76" spans="1:13" x14ac:dyDescent="0.2">
      <c r="A76" s="231">
        <f t="shared" si="10"/>
        <v>21</v>
      </c>
      <c r="C76" s="219" t="str">
        <f t="shared" si="7"/>
        <v>SC3</v>
      </c>
      <c r="D76" s="234">
        <f t="shared" si="7"/>
        <v>12</v>
      </c>
      <c r="E76" s="235">
        <f t="shared" si="7"/>
        <v>1580000</v>
      </c>
      <c r="F76" s="405">
        <f>'Sch M 2.2'!Q1237+'Sch M 2.2'!Q1247+'Sch M 2.2'!Q1238+'Sch M 2.2'!Q1251</f>
        <v>666000.39999999991</v>
      </c>
      <c r="G76" s="242">
        <f t="shared" si="8"/>
        <v>0</v>
      </c>
      <c r="H76" s="242">
        <f>'Sch M 2.3'!Q1233+'Sch M 2.3'!Q1243+'Sch M 2.3'!Q1234+'Sch M 2.3'!Q1247</f>
        <v>666000.4</v>
      </c>
      <c r="I76" s="238">
        <f t="shared" si="9"/>
        <v>0</v>
      </c>
      <c r="J76" s="760">
        <f>J59</f>
        <v>0.17249999999999999</v>
      </c>
      <c r="L76" s="238"/>
      <c r="M76" s="252"/>
    </row>
    <row r="77" spans="1:13" x14ac:dyDescent="0.2">
      <c r="A77" s="231"/>
      <c r="D77" s="240"/>
      <c r="E77" s="245"/>
      <c r="F77" s="222"/>
      <c r="G77" s="222"/>
      <c r="I77" s="238"/>
      <c r="L77" s="238"/>
      <c r="M77" s="252"/>
    </row>
    <row r="78" spans="1:13" ht="10.8" thickBot="1" x14ac:dyDescent="0.25">
      <c r="A78" s="231">
        <f>A76+1</f>
        <v>22</v>
      </c>
      <c r="C78" s="879" t="s">
        <v>430</v>
      </c>
      <c r="D78" s="883">
        <f>SUM(D57:D76)</f>
        <v>1631753</v>
      </c>
      <c r="E78" s="884">
        <f>SUM(E57:E76)</f>
        <v>29066442.600000001</v>
      </c>
      <c r="F78" s="885">
        <f>SUM(F57:F76)</f>
        <v>68437071.590000018</v>
      </c>
      <c r="G78" s="886">
        <f>SUM(G57:G76)</f>
        <v>13338239.729999999</v>
      </c>
      <c r="H78" s="885">
        <f>SUM(H57:H76)</f>
        <v>81775311.319999993</v>
      </c>
      <c r="I78" s="882">
        <f>ROUND(G78/F78,4)</f>
        <v>0.19489999999999999</v>
      </c>
      <c r="L78" s="248"/>
      <c r="M78" s="253"/>
    </row>
    <row r="79" spans="1:13" ht="10.8" thickTop="1" x14ac:dyDescent="0.2">
      <c r="D79" s="254"/>
      <c r="E79" s="255"/>
      <c r="F79" s="255"/>
      <c r="G79" s="255"/>
      <c r="H79" s="252"/>
      <c r="I79" s="238"/>
      <c r="J79" s="238"/>
      <c r="K79" s="252"/>
    </row>
    <row r="80" spans="1:13" x14ac:dyDescent="0.2">
      <c r="A80" s="241"/>
      <c r="D80" s="254"/>
      <c r="E80" s="255"/>
      <c r="F80" s="255"/>
      <c r="G80" s="255"/>
      <c r="H80" s="252"/>
      <c r="I80" s="222"/>
      <c r="J80" s="222"/>
    </row>
    <row r="81" spans="1:10" x14ac:dyDescent="0.2">
      <c r="A81" s="241"/>
      <c r="D81" s="254"/>
      <c r="E81" s="255"/>
      <c r="F81" s="255"/>
      <c r="G81" s="255"/>
      <c r="H81" s="252"/>
      <c r="I81" s="222"/>
      <c r="J81" s="222"/>
    </row>
    <row r="82" spans="1:10" x14ac:dyDescent="0.2">
      <c r="A82" s="978" t="str">
        <f>A1</f>
        <v>Columbia Gas of Kentucky, Inc.</v>
      </c>
      <c r="B82" s="978"/>
      <c r="C82" s="978"/>
      <c r="D82" s="978"/>
      <c r="E82" s="978"/>
      <c r="F82" s="978"/>
      <c r="G82" s="978"/>
      <c r="H82" s="978"/>
      <c r="I82" s="740"/>
      <c r="J82" s="220" t="s">
        <v>647</v>
      </c>
    </row>
    <row r="83" spans="1:10" x14ac:dyDescent="0.2">
      <c r="A83" s="999" t="s">
        <v>423</v>
      </c>
      <c r="B83" s="999"/>
      <c r="C83" s="999"/>
      <c r="D83" s="999"/>
      <c r="E83" s="999"/>
      <c r="F83" s="999"/>
      <c r="G83" s="999"/>
      <c r="H83" s="999"/>
      <c r="I83" s="744"/>
      <c r="J83" s="220" t="s">
        <v>631</v>
      </c>
    </row>
    <row r="84" spans="1:10" x14ac:dyDescent="0.2">
      <c r="A84" s="978" t="str">
        <f>A!$A$3</f>
        <v>For the 12 Months Ended December 31, 2017</v>
      </c>
      <c r="B84" s="978"/>
      <c r="C84" s="978"/>
      <c r="D84" s="978"/>
      <c r="E84" s="978"/>
      <c r="F84" s="978"/>
      <c r="G84" s="978"/>
      <c r="H84" s="978"/>
      <c r="I84" s="740"/>
      <c r="J84" s="221" t="s">
        <v>450</v>
      </c>
    </row>
    <row r="85" spans="1:10" x14ac:dyDescent="0.2">
      <c r="I85" s="222"/>
      <c r="J85" s="222"/>
    </row>
    <row r="86" spans="1:10" x14ac:dyDescent="0.2">
      <c r="C86" s="223"/>
      <c r="F86" s="741" t="s">
        <v>145</v>
      </c>
      <c r="G86" s="741" t="s">
        <v>30</v>
      </c>
      <c r="H86" s="741" t="s">
        <v>9</v>
      </c>
      <c r="I86" s="740" t="s">
        <v>30</v>
      </c>
      <c r="J86" s="740" t="s">
        <v>30</v>
      </c>
    </row>
    <row r="87" spans="1:10" x14ac:dyDescent="0.2">
      <c r="A87" s="741" t="s">
        <v>1</v>
      </c>
      <c r="B87" s="741"/>
      <c r="C87" s="223"/>
      <c r="D87" s="741" t="s">
        <v>5</v>
      </c>
      <c r="E87" s="741" t="s">
        <v>5</v>
      </c>
      <c r="F87" s="741" t="s">
        <v>47</v>
      </c>
      <c r="G87" s="741" t="s">
        <v>425</v>
      </c>
      <c r="H87" s="741" t="s">
        <v>30</v>
      </c>
      <c r="I87" s="225" t="s">
        <v>147</v>
      </c>
      <c r="J87" s="740" t="s">
        <v>533</v>
      </c>
    </row>
    <row r="88" spans="1:10" x14ac:dyDescent="0.2">
      <c r="A88" s="226" t="s">
        <v>3</v>
      </c>
      <c r="B88" s="226"/>
      <c r="C88" s="227" t="s">
        <v>4</v>
      </c>
      <c r="D88" s="226" t="s">
        <v>25</v>
      </c>
      <c r="E88" s="226" t="s">
        <v>26</v>
      </c>
      <c r="F88" s="227" t="s">
        <v>48</v>
      </c>
      <c r="G88" s="227" t="s">
        <v>147</v>
      </c>
      <c r="H88" s="227" t="s">
        <v>20</v>
      </c>
      <c r="I88" s="228" t="s">
        <v>426</v>
      </c>
      <c r="J88" s="281" t="s">
        <v>534</v>
      </c>
    </row>
    <row r="89" spans="1:10" x14ac:dyDescent="0.2">
      <c r="C89" s="223"/>
      <c r="D89" s="741" t="s">
        <v>6</v>
      </c>
      <c r="E89" s="742" t="s">
        <v>7</v>
      </c>
      <c r="F89" s="742" t="s">
        <v>21</v>
      </c>
      <c r="G89" s="742" t="s">
        <v>8</v>
      </c>
      <c r="H89" s="742" t="s">
        <v>427</v>
      </c>
      <c r="I89" s="743" t="s">
        <v>395</v>
      </c>
      <c r="J89" s="742" t="s">
        <v>428</v>
      </c>
    </row>
    <row r="90" spans="1:10" x14ac:dyDescent="0.2">
      <c r="D90" s="741"/>
      <c r="E90" s="741" t="s">
        <v>22</v>
      </c>
      <c r="F90" s="741" t="s">
        <v>24</v>
      </c>
      <c r="G90" s="741" t="s">
        <v>24</v>
      </c>
      <c r="H90" s="741" t="s">
        <v>24</v>
      </c>
      <c r="I90" s="740" t="s">
        <v>148</v>
      </c>
    </row>
    <row r="91" spans="1:10" x14ac:dyDescent="0.2">
      <c r="D91" s="742" t="s">
        <v>452</v>
      </c>
      <c r="E91" s="742" t="s">
        <v>453</v>
      </c>
      <c r="F91" s="742" t="s">
        <v>454</v>
      </c>
      <c r="G91" s="742"/>
      <c r="H91" s="742" t="s">
        <v>455</v>
      </c>
      <c r="I91" s="740"/>
    </row>
    <row r="92" spans="1:10" x14ac:dyDescent="0.2">
      <c r="D92" s="254"/>
      <c r="E92" s="255"/>
      <c r="F92" s="255"/>
      <c r="G92" s="255"/>
      <c r="H92" s="252"/>
      <c r="I92" s="222"/>
      <c r="J92" s="222"/>
    </row>
    <row r="93" spans="1:10" x14ac:dyDescent="0.2">
      <c r="A93" s="231">
        <v>1</v>
      </c>
      <c r="C93" s="223" t="s">
        <v>518</v>
      </c>
      <c r="D93" s="240"/>
      <c r="G93" s="222"/>
      <c r="H93" s="222"/>
      <c r="I93" s="222"/>
      <c r="J93" s="222"/>
    </row>
    <row r="94" spans="1:10" x14ac:dyDescent="0.2">
      <c r="A94" s="231"/>
      <c r="D94" s="240"/>
      <c r="G94" s="222"/>
      <c r="H94" s="222"/>
      <c r="I94" s="222"/>
      <c r="J94" s="222"/>
    </row>
    <row r="95" spans="1:10" x14ac:dyDescent="0.2">
      <c r="A95" s="231">
        <f>A93+1</f>
        <v>2</v>
      </c>
      <c r="C95" s="219" t="str">
        <f>C13</f>
        <v>GSR/GTR Residential</v>
      </c>
      <c r="D95" s="234"/>
      <c r="E95" s="235"/>
      <c r="F95" s="236">
        <f>'Sch M 2.2'!Q409+'Sch M 2.2'!Q832</f>
        <v>13802634.639999999</v>
      </c>
      <c r="G95" s="237">
        <f>H95-F95</f>
        <v>0</v>
      </c>
      <c r="H95" s="237">
        <f>'Sch M 2.3'!Q406</f>
        <v>13802634.639999999</v>
      </c>
      <c r="I95" s="238">
        <f t="shared" ref="I95" si="11">IF(F95=0,0,ROUND(G95/F95,4))</f>
        <v>0</v>
      </c>
      <c r="J95" s="238"/>
    </row>
    <row r="96" spans="1:10" x14ac:dyDescent="0.2">
      <c r="A96" s="231">
        <f>A95+1</f>
        <v>3</v>
      </c>
      <c r="C96" s="219" t="str">
        <f>C14</f>
        <v>GSO/GTO/GDS</v>
      </c>
      <c r="D96" s="234"/>
      <c r="E96" s="235"/>
      <c r="F96" s="234">
        <f>'Sch M 2.2'!Q670+'Sch M 2.2'!Q720+'Sch M 2.2'!Q867+'Sch M 2.2'!Q912+'Sch M 2.2'!Q1028+'Sch M 2.2'!Q1056</f>
        <v>7640096.3500000006</v>
      </c>
      <c r="G96" s="242">
        <f t="shared" ref="G96:G98" si="12">H96-F96</f>
        <v>0</v>
      </c>
      <c r="H96" s="242">
        <f>'Sch M 2.3'!Q667+'Sch M 2.3'!Q718</f>
        <v>7640096.3500000006</v>
      </c>
      <c r="I96" s="238">
        <f t="shared" ref="I96:I98" si="13">IF(F96=0,0,ROUND(G96/F96,4))</f>
        <v>0</v>
      </c>
      <c r="J96" s="238"/>
    </row>
    <row r="97" spans="1:10" x14ac:dyDescent="0.2">
      <c r="A97" s="231">
        <f t="shared" ref="A97:A99" si="14">A96+1</f>
        <v>4</v>
      </c>
      <c r="C97" s="219" t="str">
        <f>C21</f>
        <v>G1C</v>
      </c>
      <c r="D97" s="234"/>
      <c r="E97" s="235"/>
      <c r="F97" s="234">
        <f>'Sch M 2.2'!Q434</f>
        <v>3750.6100000000006</v>
      </c>
      <c r="G97" s="242">
        <f t="shared" si="12"/>
        <v>0</v>
      </c>
      <c r="H97" s="242">
        <f>'Sch M 2.3'!Q431</f>
        <v>3750.6100000000006</v>
      </c>
      <c r="I97" s="238">
        <f t="shared" si="13"/>
        <v>0</v>
      </c>
      <c r="J97" s="238"/>
    </row>
    <row r="98" spans="1:10" x14ac:dyDescent="0.2">
      <c r="A98" s="231">
        <f t="shared" si="14"/>
        <v>5</v>
      </c>
      <c r="C98" s="219" t="str">
        <f>C22</f>
        <v>G1R</v>
      </c>
      <c r="D98" s="234"/>
      <c r="E98" s="235"/>
      <c r="F98" s="234">
        <f>'Sch M 2.2'!Q468</f>
        <v>4459.9499999999989</v>
      </c>
      <c r="G98" s="242">
        <f t="shared" si="12"/>
        <v>0</v>
      </c>
      <c r="H98" s="242">
        <f>'Sch M 2.3'!Q466</f>
        <v>4459.9499999999989</v>
      </c>
      <c r="I98" s="238">
        <f t="shared" si="13"/>
        <v>0</v>
      </c>
      <c r="J98" s="238"/>
    </row>
    <row r="99" spans="1:10" x14ac:dyDescent="0.2">
      <c r="A99" s="231">
        <f t="shared" si="14"/>
        <v>6</v>
      </c>
      <c r="C99" s="219" t="s">
        <v>92</v>
      </c>
      <c r="D99" s="234"/>
      <c r="E99" s="235"/>
      <c r="F99" s="234">
        <f>'Sch M 2.2'!Q792</f>
        <v>25008.560000000001</v>
      </c>
      <c r="G99" s="242">
        <f t="shared" ref="G99" si="15">H99-F99</f>
        <v>0</v>
      </c>
      <c r="H99" s="242">
        <f>'Sch M 2.3'!Q789</f>
        <v>25008.560000000001</v>
      </c>
      <c r="I99" s="238">
        <f t="shared" ref="I99" si="16">IF(F99=0,0,ROUND(G99/F99,4))</f>
        <v>0</v>
      </c>
      <c r="J99" s="238"/>
    </row>
    <row r="100" spans="1:10" x14ac:dyDescent="0.2">
      <c r="A100" s="231"/>
      <c r="D100" s="240"/>
      <c r="E100" s="245"/>
      <c r="G100" s="222"/>
      <c r="H100" s="222"/>
      <c r="I100" s="238"/>
      <c r="J100" s="238"/>
    </row>
    <row r="101" spans="1:10" ht="10.8" thickBot="1" x14ac:dyDescent="0.25">
      <c r="A101" s="231">
        <f>A99+1</f>
        <v>7</v>
      </c>
      <c r="C101" s="219" t="s">
        <v>519</v>
      </c>
      <c r="D101" s="254"/>
      <c r="E101" s="255"/>
      <c r="F101" s="246">
        <f>SUM(F95:F99)</f>
        <v>21475950.109999996</v>
      </c>
      <c r="G101" s="246">
        <f t="shared" ref="G101:H101" si="17">SUM(G95:G99)</f>
        <v>0</v>
      </c>
      <c r="H101" s="246">
        <f t="shared" si="17"/>
        <v>21475950.109999996</v>
      </c>
      <c r="I101" s="248">
        <f>ROUND(G101/F101,4)</f>
        <v>0</v>
      </c>
      <c r="J101" s="248"/>
    </row>
    <row r="102" spans="1:10" ht="10.8" thickTop="1" x14ac:dyDescent="0.2">
      <c r="A102" s="231"/>
      <c r="D102" s="254"/>
      <c r="E102" s="255"/>
      <c r="F102" s="255"/>
      <c r="G102" s="255"/>
      <c r="H102" s="252"/>
      <c r="I102" s="222"/>
      <c r="J102" s="222"/>
    </row>
    <row r="103" spans="1:10" x14ac:dyDescent="0.2">
      <c r="A103" s="231">
        <f>A101+1</f>
        <v>8</v>
      </c>
      <c r="C103" s="223" t="s">
        <v>144</v>
      </c>
      <c r="D103" s="240"/>
      <c r="G103" s="222"/>
      <c r="H103" s="222"/>
      <c r="I103" s="222"/>
      <c r="J103" s="222"/>
    </row>
    <row r="104" spans="1:10" x14ac:dyDescent="0.2">
      <c r="A104" s="231"/>
      <c r="D104" s="240"/>
      <c r="G104" s="222"/>
      <c r="H104" s="222"/>
      <c r="I104" s="222"/>
      <c r="J104" s="222"/>
    </row>
    <row r="105" spans="1:10" x14ac:dyDescent="0.2">
      <c r="A105" s="231">
        <f>A103+1</f>
        <v>9</v>
      </c>
      <c r="C105" s="219" t="str">
        <f>C13</f>
        <v>GSR/GTR Residential</v>
      </c>
      <c r="D105" s="234"/>
      <c r="E105" s="235"/>
      <c r="F105" s="236">
        <f>'Sch M 2.2'!Q416+'Sch M 2.2'!Q838</f>
        <v>474918.28999999992</v>
      </c>
      <c r="G105" s="237">
        <f>H105-F105</f>
        <v>0</v>
      </c>
      <c r="H105" s="237">
        <f>'Sch M 2.3'!Q413+'Sch M 2.3'!Q837</f>
        <v>474918.28999999992</v>
      </c>
      <c r="I105" s="238">
        <f t="shared" ref="I105" si="18">IF(F105=0,0,ROUND(G105/F105,4))</f>
        <v>0</v>
      </c>
      <c r="J105" s="238"/>
    </row>
    <row r="106" spans="1:10" x14ac:dyDescent="0.2">
      <c r="A106" s="231"/>
      <c r="D106" s="234"/>
      <c r="E106" s="235"/>
      <c r="F106" s="236"/>
      <c r="G106" s="237"/>
      <c r="H106" s="237"/>
      <c r="I106" s="238"/>
      <c r="J106" s="238"/>
    </row>
    <row r="107" spans="1:10" ht="10.8" thickBot="1" x14ac:dyDescent="0.25">
      <c r="A107" s="231">
        <f>A105+1</f>
        <v>10</v>
      </c>
      <c r="C107" s="219" t="s">
        <v>520</v>
      </c>
      <c r="D107" s="254"/>
      <c r="E107" s="255"/>
      <c r="F107" s="246">
        <f>SUM(F105:F106)</f>
        <v>474918.28999999992</v>
      </c>
      <c r="G107" s="247">
        <f>SUM(G105:G106)</f>
        <v>0</v>
      </c>
      <c r="H107" s="246">
        <f>SUM(H105:H106)</f>
        <v>474918.28999999992</v>
      </c>
      <c r="I107" s="238">
        <f t="shared" ref="I107" si="19">IF(F107=0,0,ROUND(G107/F107,4))</f>
        <v>0</v>
      </c>
      <c r="J107" s="248"/>
    </row>
    <row r="108" spans="1:10" ht="10.8" thickTop="1" x14ac:dyDescent="0.2">
      <c r="A108" s="231"/>
      <c r="D108" s="254"/>
      <c r="E108" s="255"/>
      <c r="F108" s="255"/>
      <c r="G108" s="251"/>
      <c r="H108" s="255"/>
      <c r="I108" s="238"/>
      <c r="J108" s="248"/>
    </row>
    <row r="109" spans="1:10" x14ac:dyDescent="0.2">
      <c r="A109" s="231">
        <f>A107+1</f>
        <v>11</v>
      </c>
      <c r="C109" s="223" t="s">
        <v>522</v>
      </c>
      <c r="D109" s="240"/>
      <c r="G109" s="222"/>
      <c r="H109" s="222"/>
      <c r="I109" s="222"/>
      <c r="J109" s="222"/>
    </row>
    <row r="110" spans="1:10" x14ac:dyDescent="0.2">
      <c r="A110" s="231"/>
      <c r="D110" s="240"/>
      <c r="G110" s="222"/>
      <c r="H110" s="222"/>
      <c r="I110" s="222"/>
      <c r="J110" s="222"/>
    </row>
    <row r="111" spans="1:10" x14ac:dyDescent="0.2">
      <c r="A111" s="231">
        <f>A109+1</f>
        <v>12</v>
      </c>
      <c r="C111" s="219" t="str">
        <f>C13</f>
        <v>GSR/GTR Residential</v>
      </c>
      <c r="D111" s="234"/>
      <c r="E111" s="235"/>
      <c r="F111" s="236">
        <f>'Sch M 2.2'!Q414+'Sch M 2.2'!Q837</f>
        <v>1009202.28</v>
      </c>
      <c r="G111" s="237">
        <f>H111-F111</f>
        <v>0</v>
      </c>
      <c r="H111" s="237">
        <f>'Sch M 2.3'!Q411+'Sch M 2.3'!Q836</f>
        <v>1009202.28</v>
      </c>
      <c r="I111" s="238">
        <f t="shared" ref="I111" si="20">IF(F111=0,0,ROUND(G111/F111,4))</f>
        <v>0</v>
      </c>
      <c r="J111" s="238"/>
    </row>
    <row r="112" spans="1:10" ht="10.8" thickBot="1" x14ac:dyDescent="0.25">
      <c r="A112" s="231"/>
      <c r="D112" s="234"/>
      <c r="E112" s="235"/>
      <c r="F112" s="236"/>
      <c r="G112" s="237"/>
      <c r="H112" s="237"/>
      <c r="I112" s="238"/>
      <c r="J112" s="238"/>
    </row>
    <row r="113" spans="1:15" ht="10.8" thickBot="1" x14ac:dyDescent="0.25">
      <c r="A113" s="231">
        <f>A111+1</f>
        <v>13</v>
      </c>
      <c r="C113" s="219" t="s">
        <v>521</v>
      </c>
      <c r="D113" s="254"/>
      <c r="E113" s="255"/>
      <c r="F113" s="246">
        <f>SUM(F111:F112)</f>
        <v>1009202.28</v>
      </c>
      <c r="G113" s="247">
        <f>SUM(G111:G112)</f>
        <v>0</v>
      </c>
      <c r="H113" s="246">
        <f>SUM(H111:H112)</f>
        <v>1009202.28</v>
      </c>
      <c r="I113" s="248">
        <f>ROUND(G113/F113,4)</f>
        <v>0</v>
      </c>
      <c r="J113" s="248"/>
      <c r="L113" s="752" t="s">
        <v>431</v>
      </c>
      <c r="M113" s="753">
        <f>F113+F107+F101+F78+F121-F42+SUM(F36:F40)</f>
        <v>-1.4901161193847656E-8</v>
      </c>
      <c r="N113" s="753">
        <f>G113+G107+G101+G78+G121-G42+SUM(G36:G40)</f>
        <v>1.3038516044616699E-8</v>
      </c>
      <c r="O113" s="753">
        <f>H113+H107+H101+H78+H121-H42+SUM(H36:H40)</f>
        <v>-2.9802322387695313E-8</v>
      </c>
    </row>
    <row r="114" spans="1:15" ht="10.8" thickTop="1" x14ac:dyDescent="0.2">
      <c r="D114" s="254"/>
      <c r="E114" s="255"/>
      <c r="F114" s="255"/>
      <c r="G114" s="255"/>
      <c r="H114" s="252"/>
      <c r="I114" s="222"/>
      <c r="J114" s="222"/>
    </row>
    <row r="115" spans="1:15" x14ac:dyDescent="0.2">
      <c r="A115" s="231">
        <f>A113+1</f>
        <v>14</v>
      </c>
      <c r="C115" s="223" t="s">
        <v>530</v>
      </c>
      <c r="D115" s="240"/>
      <c r="G115" s="222"/>
      <c r="H115" s="222"/>
      <c r="I115" s="222"/>
      <c r="J115" s="222"/>
    </row>
    <row r="116" spans="1:15" x14ac:dyDescent="0.2">
      <c r="A116" s="231"/>
      <c r="D116" s="240"/>
      <c r="G116" s="222"/>
      <c r="H116" s="222"/>
      <c r="I116" s="222"/>
      <c r="J116" s="222"/>
    </row>
    <row r="117" spans="1:15" x14ac:dyDescent="0.2">
      <c r="A117" s="231">
        <f>A115+1</f>
        <v>15</v>
      </c>
      <c r="C117" s="219" t="str">
        <f>C57</f>
        <v>GSR/GTR Residential</v>
      </c>
      <c r="D117" s="234"/>
      <c r="E117" s="235"/>
      <c r="F117" s="234">
        <f>'Sch M 2.2'!Q415+'Sch M 2.1'!F19</f>
        <v>162450.1</v>
      </c>
      <c r="G117" s="242">
        <f t="shared" ref="G117:G119" si="21">H117-F117</f>
        <v>0</v>
      </c>
      <c r="H117" s="242">
        <f>'Sch M 2.3'!Q412</f>
        <v>162450.1</v>
      </c>
      <c r="I117" s="238">
        <f t="shared" ref="I117:I119" si="22">IF(F117=0,0,ROUND(G117/F117,4))</f>
        <v>0</v>
      </c>
      <c r="J117" s="238"/>
    </row>
    <row r="118" spans="1:15" x14ac:dyDescent="0.2">
      <c r="A118" s="231">
        <f t="shared" ref="A118" si="23">A117+1</f>
        <v>16</v>
      </c>
      <c r="C118" s="219" t="str">
        <f>C58</f>
        <v>GSO/GTO/GDS</v>
      </c>
      <c r="D118" s="234"/>
      <c r="E118" s="235"/>
      <c r="F118" s="234">
        <f>'Sch M 2.2'!Q675+'Sch M 2.2'!Q725+'Sch M 2.1'!F29+'Sch M 2.1'!F30</f>
        <v>89920.089999999982</v>
      </c>
      <c r="G118" s="242">
        <f t="shared" si="21"/>
        <v>5.0000000032014214E-2</v>
      </c>
      <c r="H118" s="242">
        <f>'Sch M 2.3'!Q672+'Sch M 2.3'!Q723</f>
        <v>89920.140000000014</v>
      </c>
      <c r="I118" s="238">
        <f t="shared" si="22"/>
        <v>0</v>
      </c>
      <c r="J118" s="238"/>
    </row>
    <row r="119" spans="1:15" x14ac:dyDescent="0.2">
      <c r="A119" s="231">
        <f>A118+1</f>
        <v>17</v>
      </c>
      <c r="C119" s="219" t="str">
        <f>C61</f>
        <v>IUS</v>
      </c>
      <c r="D119" s="234"/>
      <c r="E119" s="235"/>
      <c r="F119" s="234">
        <f>'Sch M 2.2'!Q797+'Sch M 2.1'!F32</f>
        <v>294.35999999999996</v>
      </c>
      <c r="G119" s="242">
        <f t="shared" si="21"/>
        <v>-2.9999999999972715E-2</v>
      </c>
      <c r="H119" s="242">
        <f>'Sch M 2.3'!Q794</f>
        <v>294.33</v>
      </c>
      <c r="I119" s="238">
        <f t="shared" si="22"/>
        <v>-1E-4</v>
      </c>
      <c r="J119" s="238"/>
    </row>
    <row r="120" spans="1:15" x14ac:dyDescent="0.2">
      <c r="A120" s="231"/>
      <c r="D120" s="240"/>
      <c r="E120" s="245"/>
      <c r="G120" s="222"/>
      <c r="I120" s="238"/>
      <c r="J120" s="238"/>
    </row>
    <row r="121" spans="1:15" ht="10.8" thickBot="1" x14ac:dyDescent="0.25">
      <c r="A121" s="231">
        <f>A119+1</f>
        <v>18</v>
      </c>
      <c r="C121" s="219" t="s">
        <v>531</v>
      </c>
      <c r="D121" s="254"/>
      <c r="E121" s="255"/>
      <c r="F121" s="246">
        <f>SUM(F117:F119)</f>
        <v>252664.55</v>
      </c>
      <c r="G121" s="246">
        <f>SUM(G117:G119)</f>
        <v>2.0000000032041498E-2</v>
      </c>
      <c r="H121" s="246">
        <f>SUM(H117:H119)</f>
        <v>252664.57</v>
      </c>
      <c r="I121" s="248">
        <f>ROUND(G121/F121,4)</f>
        <v>0</v>
      </c>
      <c r="J121" s="248"/>
    </row>
    <row r="122" spans="1:15" ht="10.8" thickTop="1" x14ac:dyDescent="0.2">
      <c r="D122" s="254"/>
      <c r="E122" s="255"/>
      <c r="F122" s="255"/>
      <c r="G122" s="255"/>
      <c r="H122" s="252"/>
      <c r="I122" s="222"/>
      <c r="J122" s="222"/>
    </row>
    <row r="123" spans="1:15" x14ac:dyDescent="0.2">
      <c r="A123" s="978" t="str">
        <f>A1</f>
        <v>Columbia Gas of Kentucky, Inc.</v>
      </c>
      <c r="B123" s="978"/>
      <c r="C123" s="978"/>
      <c r="D123" s="978"/>
      <c r="E123" s="978"/>
      <c r="F123" s="978"/>
      <c r="G123" s="978"/>
      <c r="H123" s="978"/>
      <c r="I123" s="407"/>
      <c r="J123" s="220" t="str">
        <f>J1</f>
        <v>Attachment MPB-1</v>
      </c>
      <c r="K123" s="220"/>
    </row>
    <row r="124" spans="1:15" x14ac:dyDescent="0.2">
      <c r="A124" s="999" t="s">
        <v>423</v>
      </c>
      <c r="B124" s="999"/>
      <c r="C124" s="999"/>
      <c r="D124" s="999"/>
      <c r="E124" s="999"/>
      <c r="F124" s="999"/>
      <c r="G124" s="999"/>
      <c r="H124" s="999"/>
      <c r="I124" s="408"/>
      <c r="J124" s="220" t="s">
        <v>632</v>
      </c>
      <c r="K124" s="220"/>
    </row>
    <row r="125" spans="1:15" x14ac:dyDescent="0.2">
      <c r="A125" s="978" t="str">
        <f>A!$A$3</f>
        <v>For the 12 Months Ended December 31, 2017</v>
      </c>
      <c r="B125" s="978"/>
      <c r="C125" s="978"/>
      <c r="D125" s="978"/>
      <c r="E125" s="978"/>
      <c r="F125" s="978"/>
      <c r="G125" s="978"/>
      <c r="H125" s="978"/>
      <c r="I125" s="407"/>
      <c r="J125" s="221" t="str">
        <f>J3</f>
        <v>Witness: M. P. Balmert</v>
      </c>
    </row>
    <row r="126" spans="1:15" x14ac:dyDescent="0.2">
      <c r="I126" s="222"/>
      <c r="J126" s="222"/>
    </row>
    <row r="127" spans="1:15" x14ac:dyDescent="0.2">
      <c r="A127" s="224" t="s">
        <v>1</v>
      </c>
      <c r="B127" s="224"/>
      <c r="C127" s="223"/>
      <c r="D127" s="224"/>
      <c r="E127" s="224" t="s">
        <v>432</v>
      </c>
      <c r="F127" s="224"/>
      <c r="G127" s="224"/>
      <c r="H127" s="224"/>
      <c r="I127" s="407"/>
      <c r="J127" s="407"/>
      <c r="K127" s="224"/>
    </row>
    <row r="128" spans="1:15" x14ac:dyDescent="0.2">
      <c r="A128" s="226" t="s">
        <v>3</v>
      </c>
      <c r="B128" s="226"/>
      <c r="C128" s="227" t="s">
        <v>4</v>
      </c>
      <c r="D128" s="226" t="s">
        <v>9</v>
      </c>
      <c r="E128" s="226" t="s">
        <v>523</v>
      </c>
      <c r="F128" s="226" t="s">
        <v>173</v>
      </c>
      <c r="G128" s="226" t="s">
        <v>517</v>
      </c>
      <c r="H128" s="226" t="s">
        <v>92</v>
      </c>
      <c r="I128" s="226" t="s">
        <v>532</v>
      </c>
      <c r="J128" s="258"/>
      <c r="K128" s="227"/>
    </row>
    <row r="129" spans="1:13" x14ac:dyDescent="0.2">
      <c r="C129" s="223"/>
      <c r="D129" s="224" t="s">
        <v>6</v>
      </c>
      <c r="E129" s="224" t="s">
        <v>7</v>
      </c>
      <c r="F129" s="229" t="s">
        <v>21</v>
      </c>
      <c r="G129" s="229" t="s">
        <v>8</v>
      </c>
      <c r="H129" s="229" t="s">
        <v>394</v>
      </c>
      <c r="I129" s="411" t="s">
        <v>395</v>
      </c>
      <c r="J129" s="407"/>
      <c r="K129" s="224"/>
    </row>
    <row r="130" spans="1:13" x14ac:dyDescent="0.2">
      <c r="C130" s="223"/>
      <c r="D130" s="224"/>
      <c r="E130" s="224"/>
      <c r="F130" s="229"/>
      <c r="G130" s="229"/>
      <c r="H130" s="229"/>
      <c r="I130" s="230"/>
      <c r="J130" s="407"/>
      <c r="K130" s="224"/>
    </row>
    <row r="131" spans="1:13" x14ac:dyDescent="0.2">
      <c r="A131" s="231">
        <v>1</v>
      </c>
      <c r="C131" s="223" t="s">
        <v>433</v>
      </c>
      <c r="D131" s="224"/>
      <c r="E131" s="224"/>
      <c r="F131" s="229"/>
      <c r="G131" s="229"/>
      <c r="H131" s="229"/>
      <c r="I131" s="230"/>
      <c r="J131" s="407"/>
      <c r="K131" s="224"/>
    </row>
    <row r="132" spans="1:13" x14ac:dyDescent="0.2">
      <c r="C132" s="262"/>
      <c r="D132" s="224"/>
      <c r="E132" s="224"/>
      <c r="F132" s="229"/>
      <c r="G132" s="229"/>
      <c r="H132" s="229"/>
      <c r="I132" s="230"/>
      <c r="J132" s="407"/>
      <c r="K132" s="224"/>
    </row>
    <row r="133" spans="1:13" x14ac:dyDescent="0.2">
      <c r="A133" s="259">
        <f>A131+1</f>
        <v>2</v>
      </c>
      <c r="B133" s="222"/>
      <c r="C133" s="222" t="s">
        <v>615</v>
      </c>
      <c r="D133" s="260">
        <f>SUM(E133:K133)</f>
        <v>253360797</v>
      </c>
      <c r="E133" s="749">
        <v>162668511</v>
      </c>
      <c r="F133" s="749">
        <v>57415257</v>
      </c>
      <c r="G133" s="749">
        <v>32693845</v>
      </c>
      <c r="H133" s="749">
        <v>97824</v>
      </c>
      <c r="I133" s="749">
        <v>485360</v>
      </c>
      <c r="J133" s="407"/>
      <c r="K133" s="224"/>
    </row>
    <row r="134" spans="1:13" x14ac:dyDescent="0.2">
      <c r="A134" s="259"/>
      <c r="B134" s="222"/>
      <c r="C134" s="222"/>
      <c r="D134" s="222"/>
      <c r="E134" s="407"/>
      <c r="F134" s="230"/>
      <c r="G134" s="230"/>
      <c r="H134" s="845"/>
      <c r="I134" s="845"/>
      <c r="J134" s="407"/>
      <c r="K134" s="224"/>
    </row>
    <row r="135" spans="1:13" x14ac:dyDescent="0.2">
      <c r="A135" s="259">
        <f>A133+1</f>
        <v>3</v>
      </c>
      <c r="B135" s="222"/>
      <c r="C135" s="222" t="s">
        <v>576</v>
      </c>
      <c r="D135" s="261">
        <v>1</v>
      </c>
      <c r="E135" s="261">
        <f>ROUND(0.0034/0.0235,5)</f>
        <v>0.14468</v>
      </c>
      <c r="F135" s="261">
        <f>ROUND(0.087/0.0235,5)</f>
        <v>3.7021299999999999</v>
      </c>
      <c r="G135" s="261">
        <f>ROUND(0.0044/0.0235,5)</f>
        <v>0.18723000000000001</v>
      </c>
      <c r="H135" s="261">
        <f>ROUND(0.075/0.0235,5)</f>
        <v>3.1914899999999999</v>
      </c>
      <c r="I135" s="261">
        <f>ROUND(0.5245/0.0235,5)</f>
        <v>22.31915</v>
      </c>
      <c r="J135" s="407"/>
      <c r="K135" s="224"/>
    </row>
    <row r="136" spans="1:13" x14ac:dyDescent="0.2">
      <c r="A136" s="259">
        <f>A135+1</f>
        <v>4</v>
      </c>
      <c r="B136" s="222"/>
      <c r="C136" s="262" t="s">
        <v>434</v>
      </c>
      <c r="D136" s="263">
        <v>1</v>
      </c>
      <c r="E136" s="263">
        <v>0.76939100000000005</v>
      </c>
      <c r="F136" s="263">
        <v>1.8859999999999999</v>
      </c>
      <c r="G136" s="263">
        <v>0.51225500000000002</v>
      </c>
      <c r="H136" s="263">
        <v>1.4915</v>
      </c>
      <c r="I136" s="263">
        <v>6.2354500000000002</v>
      </c>
      <c r="J136" s="407"/>
      <c r="K136" s="224"/>
    </row>
    <row r="137" spans="1:13" x14ac:dyDescent="0.2">
      <c r="A137" s="259">
        <f>A136+1</f>
        <v>5</v>
      </c>
      <c r="B137" s="222"/>
      <c r="C137" s="262" t="s">
        <v>435</v>
      </c>
      <c r="D137" s="264">
        <f>D136-D135</f>
        <v>0</v>
      </c>
      <c r="E137" s="264">
        <f t="shared" ref="E137:G137" si="24">E136-E135</f>
        <v>0.62471100000000002</v>
      </c>
      <c r="F137" s="264">
        <f t="shared" si="24"/>
        <v>-1.81613</v>
      </c>
      <c r="G137" s="264">
        <f t="shared" si="24"/>
        <v>0.32502500000000001</v>
      </c>
      <c r="H137" s="264">
        <f>H136-H135</f>
        <v>-1.6999899999999999</v>
      </c>
      <c r="I137" s="264">
        <f>I136-I135</f>
        <v>-16.0837</v>
      </c>
      <c r="J137" s="407"/>
      <c r="K137" s="224"/>
    </row>
    <row r="138" spans="1:13" x14ac:dyDescent="0.2">
      <c r="A138" s="259"/>
      <c r="B138" s="222"/>
      <c r="C138" s="262"/>
      <c r="D138" s="265"/>
      <c r="E138" s="265"/>
      <c r="F138" s="265"/>
      <c r="G138" s="265"/>
      <c r="H138" s="265"/>
      <c r="I138" s="845"/>
      <c r="J138" s="407"/>
      <c r="K138" s="224"/>
    </row>
    <row r="139" spans="1:13" ht="10.8" thickBot="1" x14ac:dyDescent="0.25">
      <c r="A139" s="259">
        <f>A137+1</f>
        <v>6</v>
      </c>
      <c r="B139" s="222"/>
      <c r="C139" s="222" t="s">
        <v>436</v>
      </c>
      <c r="D139" s="266">
        <v>8.4099999999999994E-2</v>
      </c>
      <c r="E139" s="267">
        <f>ROUND(E136*$D139,9)</f>
        <v>6.4705783000000003E-2</v>
      </c>
      <c r="F139" s="267">
        <f t="shared" ref="F139:H139" si="25">ROUND(F136*$D139,9)</f>
        <v>0.15861259999999999</v>
      </c>
      <c r="G139" s="267">
        <f t="shared" si="25"/>
        <v>4.3080646E-2</v>
      </c>
      <c r="H139" s="267">
        <f t="shared" si="25"/>
        <v>0.12543515</v>
      </c>
      <c r="I139" s="267">
        <f t="shared" ref="I139" si="26">ROUND(I136*$D139,9)</f>
        <v>0.52440134500000002</v>
      </c>
      <c r="J139" s="407"/>
      <c r="K139" s="224"/>
    </row>
    <row r="140" spans="1:13" ht="10.8" thickBot="1" x14ac:dyDescent="0.25">
      <c r="A140" s="259">
        <f t="shared" ref="A140:A145" si="27">A139+1</f>
        <v>7</v>
      </c>
      <c r="B140" s="222"/>
      <c r="C140" s="222" t="str">
        <f>"Net Operating Income @ Requested Return (Line "&amp;A133&amp;" x Line "&amp;A139&amp;")"</f>
        <v>Net Operating Income @ Requested Return (Line 2 x Line 6)</v>
      </c>
      <c r="D140" s="260">
        <f>ROUND(D133*D139,0)</f>
        <v>21307643</v>
      </c>
      <c r="E140" s="260">
        <f>ROUND(E133*E139,0)</f>
        <v>10525593</v>
      </c>
      <c r="F140" s="260">
        <f t="shared" ref="F140:G140" si="28">ROUND(F133*F139,0)</f>
        <v>9106783</v>
      </c>
      <c r="G140" s="260">
        <f t="shared" si="28"/>
        <v>1408472</v>
      </c>
      <c r="H140" s="260">
        <f>ROUND(H133*H139,0)</f>
        <v>12271</v>
      </c>
      <c r="I140" s="260">
        <f>ROUND(I133*I139,0)</f>
        <v>254523</v>
      </c>
      <c r="J140" s="407"/>
      <c r="K140" s="224"/>
      <c r="L140" s="257" t="s">
        <v>431</v>
      </c>
      <c r="M140" s="268">
        <f>D140-SUM(E140:I140)</f>
        <v>1</v>
      </c>
    </row>
    <row r="141" spans="1:13" x14ac:dyDescent="0.2">
      <c r="A141" s="259">
        <f t="shared" si="27"/>
        <v>8</v>
      </c>
      <c r="B141" s="222"/>
      <c r="C141" s="222" t="s">
        <v>577</v>
      </c>
      <c r="D141" s="269">
        <f>SUM(E141:I141)</f>
        <v>6057269.6044732342</v>
      </c>
      <c r="E141" s="750">
        <v>553639</v>
      </c>
      <c r="F141" s="750">
        <v>4995219</v>
      </c>
      <c r="G141" s="750">
        <f>145234+((165145+2495)/1.655089)</f>
        <v>246521.60447323375</v>
      </c>
      <c r="H141" s="750">
        <v>7338</v>
      </c>
      <c r="I141" s="750">
        <f>254552</f>
        <v>254552</v>
      </c>
      <c r="J141" s="407"/>
      <c r="K141" s="224"/>
    </row>
    <row r="142" spans="1:13" ht="10.8" thickBot="1" x14ac:dyDescent="0.25">
      <c r="A142" s="259">
        <f t="shared" si="27"/>
        <v>9</v>
      </c>
      <c r="B142" s="222"/>
      <c r="C142" s="222" t="str">
        <f>"Income Deficiency (Line "&amp;A140&amp;" - Line "&amp;A141&amp;")"</f>
        <v>Income Deficiency (Line 7 - Line 8)</v>
      </c>
      <c r="D142" s="260">
        <f>D140-D141</f>
        <v>15250373.395526767</v>
      </c>
      <c r="E142" s="260">
        <f t="shared" ref="E142:G142" si="29">E140-E141</f>
        <v>9971954</v>
      </c>
      <c r="F142" s="260">
        <f t="shared" si="29"/>
        <v>4111564</v>
      </c>
      <c r="G142" s="260">
        <f t="shared" si="29"/>
        <v>1161950.3955267663</v>
      </c>
      <c r="H142" s="260">
        <f>H140-H141</f>
        <v>4933</v>
      </c>
      <c r="I142" s="260">
        <f>I140-I141</f>
        <v>-29</v>
      </c>
      <c r="J142" s="407"/>
      <c r="K142" s="224"/>
    </row>
    <row r="143" spans="1:13" ht="10.8" thickBot="1" x14ac:dyDescent="0.25">
      <c r="A143" s="259">
        <f t="shared" si="27"/>
        <v>10</v>
      </c>
      <c r="B143" s="222"/>
      <c r="C143" s="222" t="s">
        <v>437</v>
      </c>
      <c r="D143" s="751">
        <v>1.655089</v>
      </c>
      <c r="E143" s="270">
        <f t="shared" ref="E143:I143" si="30">$D143</f>
        <v>1.655089</v>
      </c>
      <c r="F143" s="270">
        <f t="shared" si="30"/>
        <v>1.655089</v>
      </c>
      <c r="G143" s="270">
        <f t="shared" si="30"/>
        <v>1.655089</v>
      </c>
      <c r="H143" s="270">
        <f t="shared" si="30"/>
        <v>1.655089</v>
      </c>
      <c r="I143" s="270">
        <f t="shared" si="30"/>
        <v>1.655089</v>
      </c>
      <c r="J143" s="407"/>
      <c r="K143" s="224"/>
      <c r="L143" s="257" t="s">
        <v>618</v>
      </c>
      <c r="M143" s="846">
        <f>25240723-D144</f>
        <v>0</v>
      </c>
    </row>
    <row r="144" spans="1:13" ht="10.8" thickBot="1" x14ac:dyDescent="0.25">
      <c r="A144" s="259">
        <f t="shared" si="27"/>
        <v>11</v>
      </c>
      <c r="B144" s="222"/>
      <c r="C144" s="262" t="s">
        <v>578</v>
      </c>
      <c r="D144" s="271">
        <f>SUM(E144:I144)</f>
        <v>25240723</v>
      </c>
      <c r="E144" s="271">
        <f>ROUND(E142*E143,0)</f>
        <v>16504471</v>
      </c>
      <c r="F144" s="271">
        <f>ROUND(F142*F143,0)</f>
        <v>6805004</v>
      </c>
      <c r="G144" s="271">
        <f t="shared" ref="G144" si="31">ROUND(G142*G143,0)</f>
        <v>1923131</v>
      </c>
      <c r="H144" s="271">
        <f>ROUND(H142*H143,0)</f>
        <v>8165</v>
      </c>
      <c r="I144" s="271">
        <f>ROUND(I142*I143,0)</f>
        <v>-48</v>
      </c>
      <c r="J144" s="407"/>
      <c r="K144" s="224"/>
    </row>
    <row r="145" spans="1:51" ht="10.8" thickBot="1" x14ac:dyDescent="0.25">
      <c r="A145" s="259">
        <f t="shared" si="27"/>
        <v>12</v>
      </c>
      <c r="B145" s="222"/>
      <c r="C145" s="262" t="s">
        <v>438</v>
      </c>
      <c r="D145" s="272">
        <f>SUM(E145:K145)</f>
        <v>1.0000000000000002</v>
      </c>
      <c r="E145" s="272">
        <f>1-SUM(F145:I145)</f>
        <v>0.65389000000000008</v>
      </c>
      <c r="F145" s="272">
        <f>ROUND(F144/D144,5)</f>
        <v>0.26960000000000001</v>
      </c>
      <c r="G145" s="272">
        <f>ROUND(G144/D144,5)</f>
        <v>7.6189999999999994E-2</v>
      </c>
      <c r="H145" s="272">
        <f>ROUND(H144/D144,5)</f>
        <v>3.2000000000000003E-4</v>
      </c>
      <c r="I145" s="272">
        <f>ROUND(I144/E144,5)</f>
        <v>0</v>
      </c>
      <c r="J145" s="407"/>
      <c r="K145" s="224"/>
      <c r="L145" s="257" t="s">
        <v>616</v>
      </c>
      <c r="M145" s="268">
        <f>G36-D155</f>
        <v>0</v>
      </c>
    </row>
    <row r="146" spans="1:51" x14ac:dyDescent="0.2">
      <c r="A146" s="259"/>
      <c r="B146" s="222"/>
      <c r="C146" s="222"/>
      <c r="D146" s="273"/>
      <c r="E146" s="273"/>
      <c r="F146" s="273"/>
      <c r="G146" s="273"/>
      <c r="H146" s="273"/>
      <c r="I146" s="230"/>
      <c r="J146" s="407"/>
      <c r="K146" s="224"/>
    </row>
    <row r="147" spans="1:51" x14ac:dyDescent="0.2">
      <c r="A147" s="259">
        <f>A145+1</f>
        <v>13</v>
      </c>
      <c r="B147" s="222" t="s">
        <v>446</v>
      </c>
      <c r="C147" s="222" t="s">
        <v>579</v>
      </c>
      <c r="D147" s="757">
        <f>SUM(E147:I147)</f>
        <v>252664.55</v>
      </c>
      <c r="E147" s="757">
        <f>F117</f>
        <v>162450.1</v>
      </c>
      <c r="F147" s="757">
        <f>F118</f>
        <v>89920.089999999982</v>
      </c>
      <c r="G147" s="758">
        <v>0</v>
      </c>
      <c r="H147" s="757">
        <f>F119</f>
        <v>294.35999999999996</v>
      </c>
      <c r="I147" s="758">
        <v>0</v>
      </c>
      <c r="J147" s="796"/>
      <c r="K147" s="798"/>
    </row>
    <row r="148" spans="1:51" x14ac:dyDescent="0.2">
      <c r="A148" s="259">
        <f t="shared" ref="A148" si="32">A147+1</f>
        <v>14</v>
      </c>
      <c r="B148" s="222" t="s">
        <v>580</v>
      </c>
      <c r="C148" s="222" t="s">
        <v>581</v>
      </c>
      <c r="D148" s="757">
        <f>SUM(E148:I148)</f>
        <v>252664.57</v>
      </c>
      <c r="E148" s="757">
        <f>H117</f>
        <v>162450.1</v>
      </c>
      <c r="F148" s="757">
        <f>H118</f>
        <v>89920.140000000014</v>
      </c>
      <c r="G148" s="758">
        <v>0</v>
      </c>
      <c r="H148" s="757">
        <f>H119</f>
        <v>294.33</v>
      </c>
      <c r="I148" s="758">
        <v>0</v>
      </c>
      <c r="J148" s="796"/>
      <c r="K148" s="798"/>
    </row>
    <row r="149" spans="1:51" s="301" customFormat="1" x14ac:dyDescent="0.2">
      <c r="A149" s="259">
        <f t="shared" ref="A149" si="33">A148+1</f>
        <v>15</v>
      </c>
      <c r="B149" s="302" t="s">
        <v>136</v>
      </c>
      <c r="C149" s="302" t="s">
        <v>575</v>
      </c>
      <c r="D149" s="800">
        <f>SUM(E149:I149)</f>
        <v>130935</v>
      </c>
      <c r="E149" s="851">
        <f>390613-257442-71-46847</f>
        <v>86253</v>
      </c>
      <c r="F149" s="851">
        <f>172769-51-95878-7302-30025-662</f>
        <v>38851</v>
      </c>
      <c r="G149" s="851">
        <f>33994+999+3463+1165+1149-10049-17179-1822-1432-997-3455</f>
        <v>5836</v>
      </c>
      <c r="H149" s="851">
        <f>291-248</f>
        <v>43</v>
      </c>
      <c r="I149" s="851">
        <f>352+2140-335-2205</f>
        <v>-48</v>
      </c>
      <c r="J149" s="225"/>
      <c r="K149" s="797"/>
    </row>
    <row r="150" spans="1:51" s="301" customFormat="1" x14ac:dyDescent="0.2">
      <c r="A150" s="259">
        <f>A149+1</f>
        <v>16</v>
      </c>
      <c r="B150" s="302"/>
      <c r="C150" s="801" t="s">
        <v>439</v>
      </c>
      <c r="D150" s="802">
        <f>D144-D149+D147-D148</f>
        <v>25109787.98</v>
      </c>
      <c r="E150" s="802">
        <f t="shared" ref="E150:I150" si="34">E144-E149+E147-E148</f>
        <v>16418218</v>
      </c>
      <c r="F150" s="802">
        <f t="shared" si="34"/>
        <v>6766152.9500000002</v>
      </c>
      <c r="G150" s="802">
        <f t="shared" si="34"/>
        <v>1917295</v>
      </c>
      <c r="H150" s="802">
        <f t="shared" si="34"/>
        <v>8122.0300000000007</v>
      </c>
      <c r="I150" s="802">
        <f t="shared" si="34"/>
        <v>0</v>
      </c>
      <c r="J150" s="225"/>
      <c r="K150" s="855"/>
    </row>
    <row r="151" spans="1:51" s="301" customFormat="1" x14ac:dyDescent="0.2">
      <c r="A151" s="259">
        <f>A150+1</f>
        <v>17</v>
      </c>
      <c r="B151" s="302"/>
      <c r="C151" s="801" t="s">
        <v>438</v>
      </c>
      <c r="D151" s="803">
        <f>SUM(E151:I151)</f>
        <v>1</v>
      </c>
      <c r="E151" s="804">
        <f>1-SUM(F151:I151)</f>
        <v>0.65385723291533704</v>
      </c>
      <c r="F151" s="804">
        <f>ROUND(F150/D150,54)</f>
        <v>0.26946276708466299</v>
      </c>
      <c r="G151" s="804">
        <f>ROUND(G150/D150,5)</f>
        <v>7.6359999999999997E-2</v>
      </c>
      <c r="H151" s="804">
        <f>ROUND(H150/D150,5)</f>
        <v>3.2000000000000003E-4</v>
      </c>
      <c r="I151" s="804">
        <f>ROUND(I150/E150,5)</f>
        <v>0</v>
      </c>
      <c r="J151" s="225"/>
      <c r="K151" s="855"/>
    </row>
    <row r="152" spans="1:51" s="301" customFormat="1" ht="10.8" thickBot="1" x14ac:dyDescent="0.25">
      <c r="A152" s="615"/>
      <c r="B152" s="302"/>
      <c r="C152" s="801"/>
      <c r="D152" s="803"/>
      <c r="E152" s="804"/>
      <c r="F152" s="804"/>
      <c r="G152" s="804"/>
      <c r="H152" s="804"/>
      <c r="I152" s="804"/>
      <c r="J152" s="225"/>
      <c r="K152" s="855"/>
    </row>
    <row r="153" spans="1:51" s="301" customFormat="1" x14ac:dyDescent="0.2">
      <c r="A153" s="856">
        <f>A151+1</f>
        <v>18</v>
      </c>
      <c r="B153" s="558"/>
      <c r="C153" s="857" t="s">
        <v>438</v>
      </c>
      <c r="D153" s="868">
        <f>SUM(E153:I153)</f>
        <v>0.99999999999999989</v>
      </c>
      <c r="E153" s="869">
        <v>0.65386</v>
      </c>
      <c r="F153" s="869">
        <v>0.26945999999999998</v>
      </c>
      <c r="G153" s="869">
        <v>7.6359999999999997E-2</v>
      </c>
      <c r="H153" s="869">
        <v>3.2000000000000003E-4</v>
      </c>
      <c r="I153" s="870">
        <v>0</v>
      </c>
      <c r="J153" s="225"/>
      <c r="K153" s="855"/>
    </row>
    <row r="154" spans="1:51" s="301" customFormat="1" x14ac:dyDescent="0.2">
      <c r="A154" s="861">
        <f>A153+1</f>
        <v>19</v>
      </c>
      <c r="B154" s="862"/>
      <c r="C154" s="863" t="s">
        <v>646</v>
      </c>
      <c r="D154" s="864">
        <v>13408000</v>
      </c>
      <c r="E154" s="865">
        <f>ROUND(D154*E153,0)</f>
        <v>8766955</v>
      </c>
      <c r="F154" s="865">
        <f>D154-E154-G154-H154-I154</f>
        <v>3612919</v>
      </c>
      <c r="G154" s="865">
        <f>ROUND(D154*G153,0)</f>
        <v>1023835</v>
      </c>
      <c r="H154" s="865">
        <f>ROUND(D154*H153,0)</f>
        <v>4291</v>
      </c>
      <c r="I154" s="871">
        <f>ROUND(D154*I153,0)</f>
        <v>0</v>
      </c>
      <c r="J154" s="225"/>
      <c r="K154" s="855"/>
    </row>
    <row r="155" spans="1:51" s="301" customFormat="1" x14ac:dyDescent="0.2">
      <c r="A155" s="861">
        <f>A154+1</f>
        <v>20</v>
      </c>
      <c r="B155" s="862"/>
      <c r="C155" s="862" t="s">
        <v>575</v>
      </c>
      <c r="D155" s="866">
        <f>SUM(E155:I155)</f>
        <v>69732</v>
      </c>
      <c r="E155" s="867">
        <f>350592-257981-71-46945</f>
        <v>45595</v>
      </c>
      <c r="F155" s="867">
        <f>156260-51-96079-7317-30088-664</f>
        <v>22061</v>
      </c>
      <c r="G155" s="867">
        <f>29341+1165+1149+999+3463-7273-16754-1826-1435-1165-1149-999-3463</f>
        <v>2053</v>
      </c>
      <c r="H155" s="867">
        <f>271-248</f>
        <v>23</v>
      </c>
      <c r="I155" s="872">
        <f>352+2140-352-2140</f>
        <v>0</v>
      </c>
      <c r="J155" s="225"/>
      <c r="K155" s="855"/>
    </row>
    <row r="156" spans="1:51" s="762" customFormat="1" ht="10.8" thickBot="1" x14ac:dyDescent="0.25">
      <c r="A156" s="858">
        <f>A155+1</f>
        <v>21</v>
      </c>
      <c r="B156" s="859"/>
      <c r="C156" s="860" t="s">
        <v>645</v>
      </c>
      <c r="D156" s="873">
        <f>D154-D155</f>
        <v>13338268</v>
      </c>
      <c r="E156" s="873">
        <f t="shared" ref="E156:I156" si="35">E154-E155</f>
        <v>8721360</v>
      </c>
      <c r="F156" s="873">
        <f t="shared" si="35"/>
        <v>3590858</v>
      </c>
      <c r="G156" s="873">
        <f t="shared" si="35"/>
        <v>1021782</v>
      </c>
      <c r="H156" s="873">
        <f t="shared" si="35"/>
        <v>4268</v>
      </c>
      <c r="I156" s="874">
        <f t="shared" si="35"/>
        <v>0</v>
      </c>
      <c r="J156" s="302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  <c r="AA156" s="301"/>
      <c r="AB156" s="301"/>
      <c r="AC156" s="301"/>
      <c r="AD156" s="301"/>
      <c r="AE156" s="301"/>
      <c r="AF156" s="301"/>
      <c r="AG156" s="301"/>
      <c r="AH156" s="301"/>
      <c r="AI156" s="301"/>
      <c r="AJ156" s="301"/>
      <c r="AK156" s="301"/>
      <c r="AL156" s="301"/>
      <c r="AM156" s="301"/>
      <c r="AN156" s="301"/>
      <c r="AO156" s="301"/>
      <c r="AP156" s="301"/>
      <c r="AQ156" s="301"/>
      <c r="AR156" s="301"/>
      <c r="AS156" s="301"/>
      <c r="AT156" s="301"/>
      <c r="AU156" s="301"/>
      <c r="AV156" s="301"/>
      <c r="AW156" s="301"/>
      <c r="AX156" s="301"/>
      <c r="AY156" s="301"/>
    </row>
    <row r="157" spans="1:51" x14ac:dyDescent="0.2">
      <c r="A157" s="615"/>
      <c r="B157" s="302"/>
      <c r="C157" s="801"/>
      <c r="D157" s="805"/>
      <c r="E157" s="804"/>
      <c r="F157" s="804"/>
      <c r="G157" s="804"/>
      <c r="H157" s="804"/>
      <c r="I157" s="804"/>
      <c r="J157" s="302"/>
      <c r="K157" s="301"/>
      <c r="L157" s="301"/>
      <c r="M157" s="301"/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301"/>
      <c r="Y157" s="301"/>
      <c r="Z157" s="301"/>
      <c r="AA157" s="301"/>
      <c r="AB157" s="301"/>
      <c r="AC157" s="301"/>
      <c r="AD157" s="301"/>
      <c r="AE157" s="301"/>
      <c r="AF157" s="301"/>
      <c r="AG157" s="301"/>
      <c r="AH157" s="301"/>
      <c r="AI157" s="301"/>
      <c r="AJ157" s="301"/>
      <c r="AK157" s="301"/>
      <c r="AL157" s="301"/>
      <c r="AM157" s="301"/>
      <c r="AN157" s="301"/>
      <c r="AO157" s="301"/>
      <c r="AP157" s="301"/>
      <c r="AQ157" s="301"/>
      <c r="AR157" s="301"/>
      <c r="AS157" s="301"/>
      <c r="AT157" s="301"/>
      <c r="AU157" s="301"/>
      <c r="AV157" s="301"/>
      <c r="AW157" s="301"/>
      <c r="AX157" s="301"/>
      <c r="AY157" s="301"/>
    </row>
    <row r="158" spans="1:51" x14ac:dyDescent="0.2">
      <c r="A158" s="259">
        <f>A156+1</f>
        <v>22</v>
      </c>
      <c r="B158" s="222"/>
      <c r="C158" s="274" t="s">
        <v>440</v>
      </c>
      <c r="D158" s="277">
        <f>SUM(E158:I158)</f>
        <v>68437071.589999989</v>
      </c>
      <c r="E158" s="278">
        <f>F57+F66+F62+F63+F64+F67+F69+F70</f>
        <v>43271501.18</v>
      </c>
      <c r="F158" s="278">
        <f>F58+F65+F68</f>
        <v>18739331.960000001</v>
      </c>
      <c r="G158" s="278">
        <f>F60+F59+F72+F73+F76+F75</f>
        <v>5924504.0999999996</v>
      </c>
      <c r="H158" s="278">
        <f>F61</f>
        <v>22521.41</v>
      </c>
      <c r="I158" s="278">
        <f>F71+F74</f>
        <v>479212.94000000006</v>
      </c>
      <c r="J158" s="222"/>
    </row>
    <row r="159" spans="1:51" x14ac:dyDescent="0.2">
      <c r="A159" s="259">
        <f>A158+1</f>
        <v>23</v>
      </c>
      <c r="B159" s="222"/>
      <c r="C159" s="274" t="s">
        <v>441</v>
      </c>
      <c r="D159" s="275">
        <f>SUM(E159:I159)</f>
        <v>1</v>
      </c>
      <c r="E159" s="272">
        <f>1-SUM(F159:I159)</f>
        <v>0.63227999999999995</v>
      </c>
      <c r="F159" s="272">
        <f>ROUND(F158/$D$158,5)</f>
        <v>0.27382000000000001</v>
      </c>
      <c r="G159" s="272">
        <f>ROUND(G158/$D$158,5)</f>
        <v>8.6569999999999994E-2</v>
      </c>
      <c r="H159" s="272">
        <f>ROUND(H158/$D$158,5)</f>
        <v>3.3E-4</v>
      </c>
      <c r="I159" s="272">
        <f>ROUND(I158/$D$158,5)</f>
        <v>7.0000000000000001E-3</v>
      </c>
      <c r="J159" s="222"/>
    </row>
    <row r="160" spans="1:51" x14ac:dyDescent="0.2">
      <c r="A160" s="259"/>
      <c r="B160" s="222"/>
      <c r="C160" s="274"/>
      <c r="D160" s="276"/>
      <c r="E160" s="272"/>
      <c r="F160" s="272"/>
      <c r="G160" s="272"/>
      <c r="H160" s="272"/>
      <c r="I160" s="272"/>
      <c r="J160" s="222"/>
    </row>
    <row r="161" spans="1:11" x14ac:dyDescent="0.2">
      <c r="A161" s="259">
        <f>A159+1</f>
        <v>24</v>
      </c>
      <c r="B161" s="222"/>
      <c r="C161" s="274" t="s">
        <v>442</v>
      </c>
      <c r="D161" s="277">
        <f>SUM(E161:I161)</f>
        <v>81775339.589999989</v>
      </c>
      <c r="E161" s="278">
        <f>E158+E156</f>
        <v>51992861.18</v>
      </c>
      <c r="F161" s="278">
        <f>F158+F156</f>
        <v>22330189.960000001</v>
      </c>
      <c r="G161" s="278">
        <f>G158+G156</f>
        <v>6946286.0999999996</v>
      </c>
      <c r="H161" s="278">
        <f>H158+H156</f>
        <v>26789.41</v>
      </c>
      <c r="I161" s="278">
        <f>I158+I156</f>
        <v>479212.94000000006</v>
      </c>
      <c r="J161" s="222"/>
    </row>
    <row r="162" spans="1:11" x14ac:dyDescent="0.2">
      <c r="A162" s="259">
        <f>A161+1</f>
        <v>25</v>
      </c>
      <c r="B162" s="222"/>
      <c r="C162" s="274" t="s">
        <v>443</v>
      </c>
      <c r="D162" s="275">
        <f>SUM(E162:I162)</f>
        <v>1.0000000000000002</v>
      </c>
      <c r="E162" s="272">
        <f>1-SUM(F162:I162)</f>
        <v>0.63580000000000003</v>
      </c>
      <c r="F162" s="272">
        <f>ROUND(F161/$D$161,5)</f>
        <v>0.27306999999999998</v>
      </c>
      <c r="G162" s="272">
        <f>ROUND(G161/$D$161,5)</f>
        <v>8.4940000000000002E-2</v>
      </c>
      <c r="H162" s="272">
        <f>ROUND(H161/$D$161,5)</f>
        <v>3.3E-4</v>
      </c>
      <c r="I162" s="272">
        <f>ROUND(I161/$D$161,5)</f>
        <v>5.8599999999999998E-3</v>
      </c>
      <c r="J162" s="222"/>
    </row>
    <row r="163" spans="1:11" x14ac:dyDescent="0.2">
      <c r="A163" s="222"/>
      <c r="B163" s="222"/>
      <c r="C163" s="237"/>
      <c r="D163" s="279"/>
      <c r="E163" s="280"/>
      <c r="F163" s="280"/>
      <c r="G163" s="280"/>
      <c r="H163" s="280"/>
      <c r="I163" s="222"/>
      <c r="J163" s="222"/>
    </row>
    <row r="164" spans="1:11" x14ac:dyDescent="0.2">
      <c r="A164" s="978" t="str">
        <f>A1</f>
        <v>Columbia Gas of Kentucky, Inc.</v>
      </c>
      <c r="B164" s="978"/>
      <c r="C164" s="978"/>
      <c r="D164" s="978"/>
      <c r="E164" s="978"/>
      <c r="F164" s="978"/>
      <c r="G164" s="978"/>
      <c r="H164" s="978"/>
      <c r="I164" s="407"/>
      <c r="J164" s="220" t="str">
        <f>J1</f>
        <v>Attachment MPB-1</v>
      </c>
    </row>
    <row r="165" spans="1:11" x14ac:dyDescent="0.2">
      <c r="A165" s="999" t="s">
        <v>423</v>
      </c>
      <c r="B165" s="999"/>
      <c r="C165" s="999"/>
      <c r="D165" s="999"/>
      <c r="E165" s="999"/>
      <c r="F165" s="999"/>
      <c r="G165" s="999"/>
      <c r="H165" s="999"/>
      <c r="I165" s="408"/>
      <c r="J165" s="220" t="s">
        <v>633</v>
      </c>
    </row>
    <row r="166" spans="1:11" x14ac:dyDescent="0.2">
      <c r="A166" s="978" t="str">
        <f>A!$A$3</f>
        <v>For the 12 Months Ended December 31, 2017</v>
      </c>
      <c r="B166" s="978"/>
      <c r="C166" s="978"/>
      <c r="D166" s="978"/>
      <c r="E166" s="978"/>
      <c r="F166" s="978"/>
      <c r="G166" s="978"/>
      <c r="H166" s="978"/>
      <c r="I166" s="407"/>
      <c r="J166" s="221" t="str">
        <f>J3</f>
        <v>Witness: M. P. Balmert</v>
      </c>
    </row>
    <row r="167" spans="1:11" x14ac:dyDescent="0.2">
      <c r="A167" s="222"/>
      <c r="B167" s="222"/>
      <c r="C167" s="222"/>
      <c r="D167" s="222"/>
      <c r="E167" s="222"/>
      <c r="F167" s="222"/>
      <c r="G167" s="222"/>
      <c r="H167" s="222"/>
      <c r="I167" s="222"/>
      <c r="J167" s="222"/>
    </row>
    <row r="168" spans="1:11" x14ac:dyDescent="0.2">
      <c r="A168" s="222"/>
      <c r="B168" s="222"/>
      <c r="C168" s="222"/>
      <c r="D168" s="222"/>
      <c r="E168" s="222"/>
      <c r="F168" s="407" t="s">
        <v>30</v>
      </c>
      <c r="G168" s="407" t="s">
        <v>30</v>
      </c>
      <c r="H168" s="407" t="s">
        <v>149</v>
      </c>
      <c r="I168" s="407" t="s">
        <v>47</v>
      </c>
      <c r="J168" s="407" t="s">
        <v>30</v>
      </c>
      <c r="K168" s="224"/>
    </row>
    <row r="169" spans="1:11" x14ac:dyDescent="0.2">
      <c r="A169" s="222"/>
      <c r="B169" s="222"/>
      <c r="C169" s="222"/>
      <c r="D169" s="281" t="s">
        <v>25</v>
      </c>
      <c r="E169" s="281" t="s">
        <v>444</v>
      </c>
      <c r="F169" s="281" t="s">
        <v>0</v>
      </c>
      <c r="G169" s="281" t="s">
        <v>20</v>
      </c>
      <c r="H169" s="281" t="s">
        <v>20</v>
      </c>
      <c r="I169" s="281" t="s">
        <v>0</v>
      </c>
      <c r="J169" s="228" t="s">
        <v>150</v>
      </c>
      <c r="K169" s="282"/>
    </row>
    <row r="170" spans="1:11" x14ac:dyDescent="0.2">
      <c r="A170" s="222"/>
      <c r="B170" s="222"/>
      <c r="C170" s="222"/>
      <c r="D170" s="222"/>
      <c r="E170" s="222"/>
      <c r="F170" s="283" t="s">
        <v>60</v>
      </c>
      <c r="G170" s="283" t="s">
        <v>60</v>
      </c>
      <c r="H170" s="283" t="s">
        <v>60</v>
      </c>
      <c r="I170" s="283" t="s">
        <v>60</v>
      </c>
      <c r="J170" s="283" t="s">
        <v>60</v>
      </c>
      <c r="K170" s="284"/>
    </row>
    <row r="171" spans="1:11" x14ac:dyDescent="0.2">
      <c r="A171" s="259">
        <v>1</v>
      </c>
      <c r="B171" s="222"/>
      <c r="C171" s="285" t="s">
        <v>160</v>
      </c>
      <c r="D171" s="222"/>
      <c r="E171" s="222"/>
      <c r="F171" s="222"/>
      <c r="G171" s="222"/>
      <c r="H171" s="222"/>
      <c r="I171" s="222"/>
      <c r="J171" s="222"/>
    </row>
    <row r="172" spans="1:11" x14ac:dyDescent="0.2">
      <c r="A172" s="259"/>
      <c r="B172" s="222"/>
      <c r="C172" s="222"/>
      <c r="D172" s="222"/>
      <c r="E172" s="222"/>
      <c r="F172" s="222"/>
      <c r="G172" s="222"/>
      <c r="H172" s="222"/>
      <c r="I172" s="222"/>
      <c r="J172" s="222"/>
    </row>
    <row r="173" spans="1:11" x14ac:dyDescent="0.2">
      <c r="A173" s="259">
        <f>A171+1</f>
        <v>2</v>
      </c>
      <c r="B173" s="222"/>
      <c r="C173" s="222" t="s">
        <v>445</v>
      </c>
      <c r="D173" s="222"/>
      <c r="E173" s="286"/>
      <c r="F173" s="286"/>
      <c r="G173" s="286">
        <f>F13+F22+F18+F19+F20+F23+F25+F26</f>
        <v>58725166.440000005</v>
      </c>
      <c r="H173" s="286"/>
      <c r="I173" s="222"/>
      <c r="J173" s="286"/>
      <c r="K173" s="240"/>
    </row>
    <row r="174" spans="1:11" x14ac:dyDescent="0.2">
      <c r="A174" s="259">
        <f>A173+1</f>
        <v>3</v>
      </c>
      <c r="B174" s="222" t="s">
        <v>136</v>
      </c>
      <c r="C174" s="222" t="s">
        <v>151</v>
      </c>
      <c r="D174" s="222"/>
      <c r="E174" s="286"/>
      <c r="F174" s="286"/>
      <c r="G174" s="287">
        <f>F95+F98</f>
        <v>13807094.589999998</v>
      </c>
      <c r="H174" s="286"/>
      <c r="I174" s="222"/>
      <c r="J174" s="286"/>
      <c r="K174" s="240"/>
    </row>
    <row r="175" spans="1:11" x14ac:dyDescent="0.2">
      <c r="A175" s="259">
        <f>A174+1</f>
        <v>4</v>
      </c>
      <c r="B175" s="222" t="s">
        <v>136</v>
      </c>
      <c r="C175" s="222" t="s">
        <v>530</v>
      </c>
      <c r="D175" s="222"/>
      <c r="E175" s="286"/>
      <c r="F175" s="286"/>
      <c r="G175" s="287">
        <f>F117</f>
        <v>162450.1</v>
      </c>
      <c r="H175" s="286"/>
      <c r="I175" s="222"/>
      <c r="J175" s="286"/>
      <c r="K175" s="240"/>
    </row>
    <row r="176" spans="1:11" x14ac:dyDescent="0.2">
      <c r="A176" s="259">
        <f t="shared" ref="A176:A181" si="36">A175+1</f>
        <v>5</v>
      </c>
      <c r="B176" s="222" t="s">
        <v>136</v>
      </c>
      <c r="C176" s="222" t="s">
        <v>144</v>
      </c>
      <c r="D176" s="222"/>
      <c r="E176" s="286"/>
      <c r="F176" s="286"/>
      <c r="G176" s="287">
        <f>F105</f>
        <v>474918.28999999992</v>
      </c>
      <c r="H176" s="286"/>
      <c r="I176" s="222"/>
      <c r="J176" s="286"/>
      <c r="K176" s="240"/>
    </row>
    <row r="177" spans="1:12" x14ac:dyDescent="0.2">
      <c r="A177" s="259">
        <f t="shared" si="36"/>
        <v>6</v>
      </c>
      <c r="B177" s="222" t="s">
        <v>136</v>
      </c>
      <c r="C177" s="222" t="s">
        <v>451</v>
      </c>
      <c r="D177" s="222"/>
      <c r="E177" s="286"/>
      <c r="F177" s="286"/>
      <c r="G177" s="287">
        <f>F111</f>
        <v>1009202.28</v>
      </c>
      <c r="H177" s="286"/>
      <c r="I177" s="222"/>
      <c r="J177" s="286"/>
      <c r="K177" s="240"/>
    </row>
    <row r="178" spans="1:12" x14ac:dyDescent="0.2">
      <c r="A178" s="259">
        <f t="shared" si="36"/>
        <v>7</v>
      </c>
      <c r="B178" s="222" t="s">
        <v>136</v>
      </c>
      <c r="C178" s="222" t="s">
        <v>536</v>
      </c>
      <c r="D178" s="222"/>
      <c r="E178" s="286"/>
      <c r="F178" s="286"/>
      <c r="G178" s="287">
        <f>F66</f>
        <v>9291.7800000000007</v>
      </c>
      <c r="H178" s="286"/>
      <c r="I178" s="222"/>
      <c r="J178" s="286"/>
      <c r="K178" s="240"/>
    </row>
    <row r="179" spans="1:12" x14ac:dyDescent="0.2">
      <c r="A179" s="259">
        <f t="shared" si="36"/>
        <v>8</v>
      </c>
      <c r="B179" s="222" t="s">
        <v>136</v>
      </c>
      <c r="C179" s="222" t="s">
        <v>537</v>
      </c>
      <c r="D179" s="222"/>
      <c r="E179" s="286"/>
      <c r="F179" s="286"/>
      <c r="G179" s="287">
        <f>F62</f>
        <v>396.08</v>
      </c>
      <c r="H179" s="286"/>
      <c r="I179" s="222"/>
      <c r="J179" s="286"/>
      <c r="K179" s="240"/>
    </row>
    <row r="180" spans="1:12" x14ac:dyDescent="0.2">
      <c r="A180" s="259">
        <f t="shared" si="36"/>
        <v>9</v>
      </c>
      <c r="B180" s="222" t="s">
        <v>136</v>
      </c>
      <c r="C180" s="222" t="s">
        <v>538</v>
      </c>
      <c r="D180" s="222"/>
      <c r="E180" s="286"/>
      <c r="F180" s="286"/>
      <c r="G180" s="287">
        <f>F19</f>
        <v>0</v>
      </c>
      <c r="H180" s="286"/>
      <c r="I180" s="222"/>
      <c r="J180" s="286"/>
      <c r="K180" s="240"/>
    </row>
    <row r="181" spans="1:12" x14ac:dyDescent="0.2">
      <c r="A181" s="259">
        <f t="shared" si="36"/>
        <v>10</v>
      </c>
      <c r="B181" s="222" t="s">
        <v>136</v>
      </c>
      <c r="C181" s="222" t="s">
        <v>539</v>
      </c>
      <c r="D181" s="222"/>
      <c r="E181" s="286"/>
      <c r="F181" s="286"/>
      <c r="G181" s="287">
        <f>F20</f>
        <v>200.16</v>
      </c>
      <c r="H181" s="286"/>
      <c r="I181" s="222"/>
      <c r="J181" s="286"/>
      <c r="K181" s="240"/>
    </row>
    <row r="182" spans="1:12" x14ac:dyDescent="0.2">
      <c r="A182" s="259">
        <f t="shared" ref="A182:A187" si="37">A181+1</f>
        <v>11</v>
      </c>
      <c r="B182" s="222" t="s">
        <v>136</v>
      </c>
      <c r="C182" s="222" t="s">
        <v>540</v>
      </c>
      <c r="D182" s="222"/>
      <c r="E182" s="286"/>
      <c r="F182" s="286"/>
      <c r="G182" s="287">
        <f>F67</f>
        <v>211.84000000000003</v>
      </c>
      <c r="H182" s="286"/>
      <c r="I182" s="222"/>
      <c r="J182" s="286"/>
      <c r="K182" s="240"/>
    </row>
    <row r="183" spans="1:12" x14ac:dyDescent="0.2">
      <c r="A183" s="259">
        <f t="shared" si="37"/>
        <v>12</v>
      </c>
      <c r="B183" s="222" t="s">
        <v>136</v>
      </c>
      <c r="C183" s="222" t="s">
        <v>541</v>
      </c>
      <c r="D183" s="222"/>
      <c r="E183" s="286"/>
      <c r="F183" s="286"/>
      <c r="G183" s="287">
        <f>F69</f>
        <v>255.82</v>
      </c>
      <c r="H183" s="286"/>
      <c r="I183" s="222"/>
      <c r="J183" s="286"/>
      <c r="K183" s="240"/>
    </row>
    <row r="184" spans="1:12" x14ac:dyDescent="0.2">
      <c r="A184" s="259">
        <f t="shared" si="37"/>
        <v>13</v>
      </c>
      <c r="B184" s="222" t="s">
        <v>136</v>
      </c>
      <c r="C184" s="222" t="s">
        <v>542</v>
      </c>
      <c r="D184" s="222"/>
      <c r="E184" s="286"/>
      <c r="F184" s="286"/>
      <c r="G184" s="287">
        <f>F70</f>
        <v>103.04000000000002</v>
      </c>
      <c r="H184" s="286"/>
      <c r="I184" s="222"/>
      <c r="J184" s="286"/>
      <c r="K184" s="240"/>
    </row>
    <row r="185" spans="1:12" x14ac:dyDescent="0.2">
      <c r="A185" s="259">
        <f t="shared" si="37"/>
        <v>14</v>
      </c>
      <c r="B185" s="222" t="s">
        <v>446</v>
      </c>
      <c r="C185" s="222" t="s">
        <v>447</v>
      </c>
      <c r="D185" s="222"/>
      <c r="E185" s="286"/>
      <c r="F185" s="286"/>
      <c r="G185" s="273">
        <f>E156</f>
        <v>8721360</v>
      </c>
      <c r="H185" s="286"/>
      <c r="I185" s="286"/>
      <c r="J185" s="286"/>
      <c r="K185" s="240"/>
    </row>
    <row r="186" spans="1:12" x14ac:dyDescent="0.2">
      <c r="A186" s="259">
        <f t="shared" si="37"/>
        <v>15</v>
      </c>
      <c r="B186" s="222"/>
      <c r="C186" s="222" t="s">
        <v>442</v>
      </c>
      <c r="D186" s="222"/>
      <c r="E186" s="286"/>
      <c r="F186" s="286"/>
      <c r="G186" s="286">
        <f>G173-SUM(G174:G184)+G185</f>
        <v>51982402.460000008</v>
      </c>
      <c r="H186" s="286"/>
      <c r="I186" s="286"/>
      <c r="J186" s="286"/>
      <c r="K186" s="240"/>
    </row>
    <row r="187" spans="1:12" x14ac:dyDescent="0.2">
      <c r="A187" s="259">
        <f t="shared" si="37"/>
        <v>16</v>
      </c>
      <c r="B187" s="222" t="s">
        <v>136</v>
      </c>
      <c r="C187" s="222" t="s">
        <v>543</v>
      </c>
      <c r="D187" s="286">
        <f>D13</f>
        <v>1462612</v>
      </c>
      <c r="E187" s="286"/>
      <c r="F187" s="847">
        <v>16</v>
      </c>
      <c r="G187" s="286">
        <f>ROUND(D187*F187,0)</f>
        <v>23401792</v>
      </c>
      <c r="H187" s="286">
        <f>'Sch M 2.2'!Q401+'Sch M 2.2'!Q824</f>
        <v>21939180</v>
      </c>
      <c r="I187" s="288">
        <f>'Sch M 2.2'!D401</f>
        <v>15</v>
      </c>
      <c r="J187" s="286">
        <f>G187-H187</f>
        <v>1462612</v>
      </c>
      <c r="K187" s="289"/>
      <c r="L187" s="290"/>
    </row>
    <row r="188" spans="1:12" x14ac:dyDescent="0.2">
      <c r="A188" s="259">
        <f>A187+1</f>
        <v>17</v>
      </c>
      <c r="B188" s="222" t="s">
        <v>136</v>
      </c>
      <c r="C188" s="222" t="s">
        <v>628</v>
      </c>
      <c r="D188" s="286">
        <f>D187</f>
        <v>1462612</v>
      </c>
      <c r="E188" s="286"/>
      <c r="F188" s="847">
        <v>0</v>
      </c>
      <c r="G188" s="273">
        <f>ROUND(D188*F188,0)</f>
        <v>0</v>
      </c>
      <c r="H188" s="286">
        <f>'Sch M 2.2'!Q402+'Sch M 2.2'!Q825</f>
        <v>3290877</v>
      </c>
      <c r="I188" s="288">
        <f>Input!J19</f>
        <v>2.25</v>
      </c>
      <c r="J188" s="286">
        <f>G188-H188</f>
        <v>-3290877</v>
      </c>
      <c r="K188" s="289"/>
      <c r="L188" s="290"/>
    </row>
    <row r="189" spans="1:12" x14ac:dyDescent="0.2">
      <c r="A189" s="259">
        <f>A188+1</f>
        <v>18</v>
      </c>
      <c r="B189" s="222"/>
      <c r="C189" s="222" t="s">
        <v>152</v>
      </c>
      <c r="D189" s="222"/>
      <c r="E189" s="286"/>
      <c r="F189" s="291"/>
      <c r="G189" s="286">
        <f>G186-G187-G188</f>
        <v>28580610.460000008</v>
      </c>
      <c r="H189" s="286"/>
      <c r="I189" s="286"/>
      <c r="J189" s="286"/>
      <c r="K189" s="292"/>
    </row>
    <row r="190" spans="1:12" x14ac:dyDescent="0.2">
      <c r="A190" s="259"/>
      <c r="B190" s="222"/>
      <c r="C190" s="222"/>
      <c r="D190" s="222"/>
      <c r="E190" s="286"/>
      <c r="F190" s="271"/>
      <c r="G190" s="286"/>
      <c r="H190" s="286"/>
      <c r="I190" s="286"/>
      <c r="J190" s="286"/>
      <c r="K190" s="240"/>
    </row>
    <row r="191" spans="1:12" x14ac:dyDescent="0.2">
      <c r="A191" s="259">
        <f>A189+1</f>
        <v>19</v>
      </c>
      <c r="B191" s="222"/>
      <c r="C191" s="222" t="s">
        <v>110</v>
      </c>
      <c r="D191" s="222"/>
      <c r="E191" s="293">
        <f>E13</f>
        <v>7955080.5000000009</v>
      </c>
      <c r="F191" s="294">
        <f>ROUND((G189/E191),4)</f>
        <v>3.5926999999999998</v>
      </c>
      <c r="G191" s="286">
        <f>ROUND(E191*F191,0)</f>
        <v>28580218</v>
      </c>
      <c r="H191" s="286">
        <f>'Sch M 2.2'!Q405+'Sch M 2.2'!Q828</f>
        <v>18030985.459999997</v>
      </c>
      <c r="I191" s="295">
        <f>'Sch M 2.2'!D405</f>
        <v>2.2665999999999999</v>
      </c>
      <c r="J191" s="273">
        <f>G191-H191</f>
        <v>10549232.540000003</v>
      </c>
      <c r="K191" s="240"/>
    </row>
    <row r="192" spans="1:12" x14ac:dyDescent="0.2">
      <c r="A192" s="259">
        <f>A191+1</f>
        <v>20</v>
      </c>
      <c r="B192" s="222"/>
      <c r="C192" s="262" t="s">
        <v>448</v>
      </c>
      <c r="D192" s="262"/>
      <c r="E192" s="296"/>
      <c r="F192" s="271"/>
      <c r="G192" s="297"/>
      <c r="H192" s="297"/>
      <c r="I192" s="298"/>
      <c r="J192" s="271">
        <f>J187+J191+J188</f>
        <v>8720967.5400000028</v>
      </c>
      <c r="K192" s="299"/>
      <c r="L192" s="240"/>
    </row>
    <row r="193" spans="1:11" x14ac:dyDescent="0.2">
      <c r="A193" s="302"/>
      <c r="B193" s="302"/>
      <c r="C193" s="302"/>
      <c r="D193" s="302"/>
      <c r="E193" s="304"/>
      <c r="F193" s="304"/>
      <c r="G193" s="304"/>
      <c r="H193" s="304"/>
      <c r="I193" s="304"/>
      <c r="J193" s="304"/>
      <c r="K193" s="300"/>
    </row>
    <row r="194" spans="1:11" x14ac:dyDescent="0.2">
      <c r="A194" s="978" t="str">
        <f>A1</f>
        <v>Columbia Gas of Kentucky, Inc.</v>
      </c>
      <c r="B194" s="978"/>
      <c r="C194" s="978"/>
      <c r="D194" s="978"/>
      <c r="E194" s="978"/>
      <c r="F194" s="978"/>
      <c r="G194" s="978"/>
      <c r="H194" s="978"/>
      <c r="I194" s="740"/>
      <c r="K194" s="220" t="str">
        <f>J1</f>
        <v>Attachment MPB-1</v>
      </c>
    </row>
    <row r="195" spans="1:11" x14ac:dyDescent="0.2">
      <c r="A195" s="999" t="s">
        <v>423</v>
      </c>
      <c r="B195" s="999"/>
      <c r="C195" s="999"/>
      <c r="D195" s="999"/>
      <c r="E195" s="999"/>
      <c r="F195" s="999"/>
      <c r="G195" s="999"/>
      <c r="H195" s="999"/>
      <c r="I195" s="744"/>
      <c r="K195" s="220" t="s">
        <v>634</v>
      </c>
    </row>
    <row r="196" spans="1:11" x14ac:dyDescent="0.2">
      <c r="A196" s="978" t="str">
        <f>A!$A$3</f>
        <v>For the 12 Months Ended December 31, 2017</v>
      </c>
      <c r="B196" s="978"/>
      <c r="C196" s="978"/>
      <c r="D196" s="978"/>
      <c r="E196" s="978"/>
      <c r="F196" s="978"/>
      <c r="G196" s="978"/>
      <c r="H196" s="978"/>
      <c r="I196" s="740"/>
      <c r="K196" s="221" t="str">
        <f>J3</f>
        <v>Witness: M. P. Balmert</v>
      </c>
    </row>
    <row r="197" spans="1:11" x14ac:dyDescent="0.2">
      <c r="A197" s="302"/>
      <c r="B197" s="302"/>
      <c r="C197" s="302"/>
      <c r="D197" s="302"/>
      <c r="E197" s="304"/>
      <c r="F197" s="304"/>
      <c r="G197" s="304"/>
      <c r="H197" s="304"/>
      <c r="I197" s="304"/>
      <c r="J197" s="304"/>
      <c r="K197" s="300"/>
    </row>
    <row r="198" spans="1:11" x14ac:dyDescent="0.2">
      <c r="A198" s="222"/>
      <c r="B198" s="222"/>
      <c r="C198" s="222"/>
      <c r="D198" s="222"/>
      <c r="E198" s="222"/>
      <c r="F198" s="849" t="s">
        <v>30</v>
      </c>
      <c r="G198" s="849" t="s">
        <v>30</v>
      </c>
      <c r="H198" s="849" t="s">
        <v>47</v>
      </c>
      <c r="I198" s="741" t="s">
        <v>552</v>
      </c>
      <c r="J198" s="407" t="s">
        <v>47</v>
      </c>
      <c r="K198" s="407" t="s">
        <v>30</v>
      </c>
    </row>
    <row r="199" spans="1:11" x14ac:dyDescent="0.2">
      <c r="A199" s="222"/>
      <c r="B199" s="222"/>
      <c r="C199" s="222"/>
      <c r="D199" s="281" t="s">
        <v>25</v>
      </c>
      <c r="E199" s="281" t="s">
        <v>444</v>
      </c>
      <c r="F199" s="281" t="s">
        <v>0</v>
      </c>
      <c r="G199" s="281" t="s">
        <v>20</v>
      </c>
      <c r="H199" s="281" t="s">
        <v>20</v>
      </c>
      <c r="I199" s="226" t="s">
        <v>149</v>
      </c>
      <c r="J199" s="281" t="s">
        <v>0</v>
      </c>
      <c r="K199" s="228" t="s">
        <v>150</v>
      </c>
    </row>
    <row r="200" spans="1:11" x14ac:dyDescent="0.2">
      <c r="A200" s="222"/>
      <c r="B200" s="222"/>
      <c r="C200" s="222"/>
      <c r="D200" s="222"/>
      <c r="E200" s="222"/>
      <c r="F200" s="283" t="s">
        <v>60</v>
      </c>
      <c r="G200" s="283" t="s">
        <v>60</v>
      </c>
      <c r="H200" s="283" t="s">
        <v>60</v>
      </c>
      <c r="J200" s="283" t="s">
        <v>60</v>
      </c>
      <c r="K200" s="283" t="s">
        <v>60</v>
      </c>
    </row>
    <row r="201" spans="1:11" x14ac:dyDescent="0.2">
      <c r="A201" s="259">
        <v>1</v>
      </c>
      <c r="B201" s="222"/>
      <c r="C201" s="285" t="s">
        <v>544</v>
      </c>
      <c r="D201" s="222"/>
      <c r="E201" s="222"/>
      <c r="F201" s="222"/>
      <c r="G201" s="222"/>
      <c r="H201" s="222"/>
      <c r="J201" s="222"/>
      <c r="K201" s="222"/>
    </row>
    <row r="202" spans="1:11" x14ac:dyDescent="0.2">
      <c r="A202" s="259"/>
      <c r="B202" s="222"/>
      <c r="C202" s="222"/>
      <c r="D202" s="222"/>
      <c r="E202" s="222"/>
      <c r="F202" s="222"/>
      <c r="G202" s="222"/>
      <c r="H202" s="222"/>
      <c r="J202" s="222"/>
      <c r="K202" s="222"/>
    </row>
    <row r="203" spans="1:11" x14ac:dyDescent="0.2">
      <c r="A203" s="259">
        <f>A201+1</f>
        <v>2</v>
      </c>
      <c r="B203" s="222"/>
      <c r="C203" s="222" t="s">
        <v>445</v>
      </c>
      <c r="D203" s="222"/>
      <c r="E203" s="286"/>
      <c r="F203" s="286"/>
      <c r="G203" s="286">
        <f>F14+F21+F24</f>
        <v>26473099.009999994</v>
      </c>
      <c r="H203" s="286"/>
      <c r="J203" s="286"/>
      <c r="K203" s="286"/>
    </row>
    <row r="204" spans="1:11" x14ac:dyDescent="0.2">
      <c r="A204" s="259">
        <f>A203+1</f>
        <v>3</v>
      </c>
      <c r="B204" s="222" t="s">
        <v>136</v>
      </c>
      <c r="C204" s="222" t="s">
        <v>151</v>
      </c>
      <c r="D204" s="222"/>
      <c r="E204" s="286"/>
      <c r="F204" s="286"/>
      <c r="G204" s="287">
        <f>F96+F97</f>
        <v>7643846.9600000009</v>
      </c>
      <c r="H204" s="286"/>
      <c r="J204" s="286"/>
      <c r="K204" s="286"/>
    </row>
    <row r="205" spans="1:11" x14ac:dyDescent="0.2">
      <c r="A205" s="259">
        <f t="shared" ref="A205:A209" si="38">A204+1</f>
        <v>4</v>
      </c>
      <c r="B205" s="222" t="s">
        <v>136</v>
      </c>
      <c r="C205" s="222" t="s">
        <v>530</v>
      </c>
      <c r="D205" s="222"/>
      <c r="E205" s="286"/>
      <c r="F205" s="286"/>
      <c r="G205" s="287">
        <f>F118</f>
        <v>89920.089999999982</v>
      </c>
      <c r="H205" s="286"/>
      <c r="J205" s="286"/>
      <c r="K205" s="286"/>
    </row>
    <row r="206" spans="1:11" x14ac:dyDescent="0.2">
      <c r="A206" s="259">
        <f t="shared" si="38"/>
        <v>5</v>
      </c>
      <c r="B206" s="222" t="s">
        <v>136</v>
      </c>
      <c r="C206" s="222" t="s">
        <v>545</v>
      </c>
      <c r="D206" s="222"/>
      <c r="E206" s="286"/>
      <c r="F206" s="286"/>
      <c r="G206" s="287">
        <f>F65</f>
        <v>5993.82</v>
      </c>
      <c r="H206" s="286"/>
      <c r="J206" s="286"/>
      <c r="K206" s="286"/>
    </row>
    <row r="207" spans="1:11" x14ac:dyDescent="0.2">
      <c r="A207" s="259">
        <f t="shared" si="38"/>
        <v>6</v>
      </c>
      <c r="B207" s="222" t="s">
        <v>136</v>
      </c>
      <c r="C207" s="222" t="s">
        <v>546</v>
      </c>
      <c r="D207" s="222"/>
      <c r="E207" s="286"/>
      <c r="F207" s="286"/>
      <c r="G207" s="287">
        <f>F68</f>
        <v>248.84000000000003</v>
      </c>
      <c r="H207" s="286"/>
      <c r="J207" s="286"/>
      <c r="K207" s="286"/>
    </row>
    <row r="208" spans="1:11" x14ac:dyDescent="0.2">
      <c r="A208" s="259">
        <f t="shared" si="38"/>
        <v>7</v>
      </c>
      <c r="B208" s="222" t="s">
        <v>446</v>
      </c>
      <c r="C208" s="222" t="s">
        <v>447</v>
      </c>
      <c r="D208" s="222"/>
      <c r="E208" s="286"/>
      <c r="F208" s="286"/>
      <c r="G208" s="273">
        <f>F156</f>
        <v>3590858</v>
      </c>
      <c r="H208" s="286"/>
      <c r="J208" s="286"/>
      <c r="K208" s="286"/>
    </row>
    <row r="209" spans="1:12" x14ac:dyDescent="0.2">
      <c r="A209" s="259">
        <f t="shared" si="38"/>
        <v>8</v>
      </c>
      <c r="B209" s="222"/>
      <c r="C209" s="222" t="s">
        <v>449</v>
      </c>
      <c r="D209" s="222"/>
      <c r="E209" s="286"/>
      <c r="F209" s="286"/>
      <c r="G209" s="286">
        <f>G203-SUM(G204:G207)+G208</f>
        <v>22323947.299999993</v>
      </c>
      <c r="H209" s="286"/>
      <c r="J209" s="286"/>
      <c r="K209" s="286"/>
    </row>
    <row r="210" spans="1:12" x14ac:dyDescent="0.2">
      <c r="A210" s="259">
        <f t="shared" ref="A210:A213" si="39">A209+1</f>
        <v>9</v>
      </c>
      <c r="B210" s="222" t="s">
        <v>136</v>
      </c>
      <c r="C210" s="222" t="s">
        <v>543</v>
      </c>
      <c r="D210" s="286">
        <f>D14</f>
        <v>167676</v>
      </c>
      <c r="E210" s="286"/>
      <c r="F210" s="847">
        <f>ROUND(G208/(H210+H211+H212+H219)*J210,2)+J210</f>
        <v>44.69</v>
      </c>
      <c r="G210" s="286">
        <f>ROUND(D210*F210,0)</f>
        <v>7493440</v>
      </c>
      <c r="H210" s="286">
        <f>'Sch M 2.2'!Q849+'Sch M 2.2'!Q702+'Sch M 2.2'!Q894+'Sch M 2.2'!Q652+'Sch M 2.2'!Q1009+'Sch M 2.2'!Q1037</f>
        <v>6287850</v>
      </c>
      <c r="J210" s="288">
        <f>'Sch M 2.2'!D652</f>
        <v>37.5</v>
      </c>
      <c r="K210" s="286">
        <f>G210-H210</f>
        <v>1205590</v>
      </c>
    </row>
    <row r="211" spans="1:12" x14ac:dyDescent="0.2">
      <c r="A211" s="259">
        <f t="shared" si="39"/>
        <v>10</v>
      </c>
      <c r="B211" s="222" t="s">
        <v>136</v>
      </c>
      <c r="C211" s="222" t="s">
        <v>617</v>
      </c>
      <c r="D211" s="286">
        <f>'Sch M 2.2'!Q1008+'Sch M 2.2'!Q1036</f>
        <v>325</v>
      </c>
      <c r="E211" s="286"/>
      <c r="F211" s="847">
        <v>0</v>
      </c>
      <c r="G211" s="286">
        <f>ROUND(D211*F211,0)</f>
        <v>0</v>
      </c>
      <c r="H211" s="286">
        <f>'Sch M 2.2'!Q1010+'Sch M 2.2'!Q1038</f>
        <v>18167.5</v>
      </c>
      <c r="J211" s="288">
        <f>'Sch M 2.2'!D1010</f>
        <v>55.9</v>
      </c>
      <c r="K211" s="286">
        <f>G211-H211</f>
        <v>-18167.5</v>
      </c>
    </row>
    <row r="212" spans="1:12" x14ac:dyDescent="0.2">
      <c r="A212" s="259">
        <f t="shared" si="39"/>
        <v>11</v>
      </c>
      <c r="B212" s="222" t="s">
        <v>136</v>
      </c>
      <c r="C212" s="222" t="s">
        <v>628</v>
      </c>
      <c r="D212" s="286">
        <f>D210</f>
        <v>167676</v>
      </c>
      <c r="E212" s="286"/>
      <c r="F212" s="847">
        <v>0</v>
      </c>
      <c r="G212" s="273">
        <f>ROUND(D212*F212,0)</f>
        <v>0</v>
      </c>
      <c r="H212" s="286">
        <f>'Sch M 2.2'!Q850+'Sch M 2.2'!Q703+'Sch M 2.2'!Q895+'Sch M 2.2'!Q653+'Sch M 2.2'!Q1011+'Sch M 2.2'!Q1039</f>
        <v>1344761.52</v>
      </c>
      <c r="I212" s="288"/>
      <c r="J212" s="288">
        <f>'Sch M 2.2'!D653</f>
        <v>8.02</v>
      </c>
      <c r="K212" s="286">
        <f>G212-H212</f>
        <v>-1344761.52</v>
      </c>
    </row>
    <row r="213" spans="1:12" x14ac:dyDescent="0.2">
      <c r="A213" s="259">
        <f t="shared" si="39"/>
        <v>12</v>
      </c>
      <c r="B213" s="222"/>
      <c r="C213" s="222" t="s">
        <v>152</v>
      </c>
      <c r="D213" s="222"/>
      <c r="E213" s="222"/>
      <c r="F213" s="222"/>
      <c r="G213" s="286">
        <f>G209-G210-G211-G212</f>
        <v>14830507.299999993</v>
      </c>
      <c r="H213" s="222"/>
      <c r="I213" s="222"/>
      <c r="J213" s="222"/>
      <c r="K213" s="240"/>
    </row>
    <row r="214" spans="1:12" x14ac:dyDescent="0.2">
      <c r="A214" s="259"/>
      <c r="B214" s="222"/>
      <c r="C214" s="222"/>
      <c r="D214" s="222"/>
      <c r="E214" s="222"/>
      <c r="F214" s="222"/>
      <c r="G214" s="286"/>
      <c r="H214" s="222"/>
      <c r="I214" s="222"/>
      <c r="J214" s="222"/>
      <c r="K214" s="240"/>
    </row>
    <row r="215" spans="1:12" x14ac:dyDescent="0.2">
      <c r="A215" s="259">
        <f>A213+1</f>
        <v>13</v>
      </c>
      <c r="B215" s="222"/>
      <c r="C215" s="222" t="s">
        <v>548</v>
      </c>
      <c r="D215" s="222"/>
      <c r="E215" s="293">
        <f>'Sch M 2.2'!Q656+'Sch M 2.2'!Q706+'Sch M 2.2'!Q853+'Sch M 2.2'!Q898+'Sch M 2.2'!Q1014+'Sch M 2.2'!Q1042</f>
        <v>2323884.9</v>
      </c>
      <c r="F215" s="294">
        <f>ROUND(G215/E215,4)</f>
        <v>3.0331999999999999</v>
      </c>
      <c r="G215" s="286">
        <f>ROUND($G$213*I215,0)</f>
        <v>7048800</v>
      </c>
      <c r="H215" s="286">
        <f>'Sch M 2.2'!Q662+'Sch M 2.2'!Q712+'Sch M 2.2'!Q859+'Sch M 2.2'!Q904+'Sch M 2.2'!Q1020+'Sch M 2.2'!Q1048</f>
        <v>5267317.53</v>
      </c>
      <c r="I215" s="754">
        <f>ROUND(H215/$H$219,10)</f>
        <v>0.4752905664</v>
      </c>
      <c r="J215" s="219">
        <f>'Sch M 2.2'!D904</f>
        <v>2.2665999999999999</v>
      </c>
      <c r="K215" s="240">
        <f>G215-H215</f>
        <v>1781482.4699999997</v>
      </c>
      <c r="L215" s="756"/>
    </row>
    <row r="216" spans="1:12" x14ac:dyDescent="0.2">
      <c r="A216" s="259">
        <f>A215+1</f>
        <v>14</v>
      </c>
      <c r="B216" s="222"/>
      <c r="C216" s="222" t="s">
        <v>549</v>
      </c>
      <c r="D216" s="222"/>
      <c r="E216" s="293">
        <f>'Sch M 2.2'!Q657+'Sch M 2.2'!Q707+'Sch M 2.2'!Q854+'Sch M 2.2'!Q899+'Sch M 2.2'!Q1015+'Sch M 2.2'!Q1043</f>
        <v>2223522.2999999998</v>
      </c>
      <c r="F216" s="294">
        <f>ROUND(G216/E216,4)</f>
        <v>2.3445999999999998</v>
      </c>
      <c r="G216" s="286">
        <f t="shared" ref="G216:G218" si="40">ROUND($G$213*I216,0)</f>
        <v>5213163</v>
      </c>
      <c r="H216" s="286">
        <f>'Sch M 2.2'!Q663+'Sch M 2.2'!Q713+'Sch M 2.2'!Q860+'Sch M 2.2'!Q905+'Sch M 2.2'!Q1021+'Sch M 2.2'!Q1049</f>
        <v>3895611.0900000008</v>
      </c>
      <c r="I216" s="754">
        <f t="shared" ref="I216:I218" si="41">ROUND(H216/$H$219,10)</f>
        <v>0.35151615429999999</v>
      </c>
      <c r="J216" s="219">
        <f>'Sch M 2.2'!D905</f>
        <v>1.752</v>
      </c>
      <c r="K216" s="240">
        <f>G216-H216</f>
        <v>1317551.9099999992</v>
      </c>
      <c r="L216" s="756"/>
    </row>
    <row r="217" spans="1:12" x14ac:dyDescent="0.2">
      <c r="A217" s="259">
        <f>A216+1</f>
        <v>15</v>
      </c>
      <c r="B217" s="222"/>
      <c r="C217" s="222" t="s">
        <v>550</v>
      </c>
      <c r="D217" s="222"/>
      <c r="E217" s="293">
        <f>'Sch M 2.2'!Q658+'Sch M 2.2'!Q708+'Sch M 2.2'!Q855+'Sch M 2.2'!Q900+'Sch M 2.2'!Q1016+'Sch M 2.2'!Q1044</f>
        <v>655261.09999999986</v>
      </c>
      <c r="F217" s="887">
        <f>ROUND(G217/E217,4)+0.0001</f>
        <v>2.2294</v>
      </c>
      <c r="G217" s="286">
        <f t="shared" si="40"/>
        <v>1460794</v>
      </c>
      <c r="H217" s="286">
        <f>'Sch M 2.2'!Q664+'Sch M 2.2'!Q714+'Sch M 2.2'!Q861+'Sch M 2.2'!Q906+'Sch M 2.2'!Q1022+'Sch M 2.2'!Q1050</f>
        <v>1091599.49</v>
      </c>
      <c r="I217" s="754">
        <f t="shared" si="41"/>
        <v>9.8499271599999993E-2</v>
      </c>
      <c r="J217" s="219">
        <f>'Sch M 2.2'!D906</f>
        <v>1.6658999999999999</v>
      </c>
      <c r="K217" s="240">
        <f>G217-H217</f>
        <v>369194.51</v>
      </c>
      <c r="L217" s="756"/>
    </row>
    <row r="218" spans="1:12" x14ac:dyDescent="0.2">
      <c r="A218" s="259">
        <f>A217+1</f>
        <v>16</v>
      </c>
      <c r="B218" s="222"/>
      <c r="C218" s="222" t="s">
        <v>551</v>
      </c>
      <c r="D218" s="222"/>
      <c r="E218" s="515">
        <f>'Sch M 2.2'!Q659+'Sch M 2.2'!Q709+'Sch M 2.2'!Q856+'Sch M 2.2'!Q901+'Sch M 2.2'!Q1017+'Sch M 2.2'!Q1045</f>
        <v>545886.40000000014</v>
      </c>
      <c r="F218" s="853">
        <f>ROUND(G218/E218,4)+0.0001</f>
        <v>2.0294000000000003</v>
      </c>
      <c r="G218" s="273">
        <f t="shared" si="40"/>
        <v>1107750</v>
      </c>
      <c r="H218" s="273">
        <f>'Sch M 2.2'!Q665+'Sch M 2.2'!Q715+'Sch M 2.2'!Q862+'Sch M 2.2'!Q907+'Sch M 2.2'!Q1023+'Sch M 2.2'!Q1051</f>
        <v>827782.16999999993</v>
      </c>
      <c r="I218" s="755">
        <f t="shared" si="41"/>
        <v>7.4694007800000004E-2</v>
      </c>
      <c r="J218" s="219">
        <f>'Sch M 2.2'!D907</f>
        <v>1.5164</v>
      </c>
      <c r="K218" s="431">
        <f>G218-H218</f>
        <v>279967.83000000007</v>
      </c>
      <c r="L218" s="756"/>
    </row>
    <row r="219" spans="1:12" x14ac:dyDescent="0.2">
      <c r="A219" s="259">
        <f>A218+1</f>
        <v>17</v>
      </c>
      <c r="B219" s="222"/>
      <c r="C219" s="222" t="s">
        <v>547</v>
      </c>
      <c r="D219" s="222"/>
      <c r="E219" s="293">
        <f>SUM(E215:E218)</f>
        <v>5748554.6999999993</v>
      </c>
      <c r="F219" s="222"/>
      <c r="G219" s="286">
        <f>SUM(G215:G218)</f>
        <v>14830507</v>
      </c>
      <c r="H219" s="286">
        <f>SUM(H215:H218)</f>
        <v>11082310.280000001</v>
      </c>
      <c r="I219" s="754">
        <f>SUM(I215:I218)</f>
        <v>1.0000000001</v>
      </c>
      <c r="K219" s="240">
        <f>SUM(K215:K218)</f>
        <v>3748196.7199999988</v>
      </c>
      <c r="L219" s="240"/>
    </row>
    <row r="220" spans="1:12" x14ac:dyDescent="0.2">
      <c r="A220" s="259"/>
      <c r="B220" s="222"/>
      <c r="C220" s="262"/>
      <c r="D220" s="262"/>
      <c r="E220" s="296"/>
      <c r="F220" s="297"/>
      <c r="G220" s="271"/>
      <c r="H220" s="271"/>
      <c r="I220" s="262"/>
      <c r="J220" s="271"/>
      <c r="K220" s="299"/>
    </row>
    <row r="221" spans="1:12" x14ac:dyDescent="0.2">
      <c r="A221" s="259">
        <f>A219+1</f>
        <v>18</v>
      </c>
      <c r="B221" s="222"/>
      <c r="C221" s="262" t="s">
        <v>448</v>
      </c>
      <c r="D221" s="262"/>
      <c r="E221" s="296"/>
      <c r="F221" s="271"/>
      <c r="G221" s="271"/>
      <c r="H221" s="271"/>
      <c r="I221" s="298"/>
      <c r="K221" s="271">
        <f>K219+K210+K211+K212</f>
        <v>3590857.6999999988</v>
      </c>
    </row>
    <row r="222" spans="1:12" x14ac:dyDescent="0.2">
      <c r="A222" s="302"/>
      <c r="B222" s="302"/>
      <c r="C222" s="302"/>
      <c r="D222" s="302"/>
      <c r="E222" s="302"/>
      <c r="F222" s="302"/>
      <c r="G222" s="302"/>
      <c r="H222" s="302"/>
      <c r="I222" s="302"/>
      <c r="J222" s="302"/>
      <c r="K222" s="301"/>
    </row>
    <row r="223" spans="1:12" x14ac:dyDescent="0.2">
      <c r="A223" s="978" t="str">
        <f>A1</f>
        <v>Columbia Gas of Kentucky, Inc.</v>
      </c>
      <c r="B223" s="978"/>
      <c r="C223" s="978"/>
      <c r="D223" s="978"/>
      <c r="E223" s="978"/>
      <c r="F223" s="978"/>
      <c r="G223" s="978"/>
      <c r="H223" s="978"/>
      <c r="I223" s="740"/>
      <c r="K223" s="220" t="str">
        <f>J1</f>
        <v>Attachment MPB-1</v>
      </c>
    </row>
    <row r="224" spans="1:12" x14ac:dyDescent="0.2">
      <c r="A224" s="999" t="s">
        <v>423</v>
      </c>
      <c r="B224" s="999"/>
      <c r="C224" s="999"/>
      <c r="D224" s="999"/>
      <c r="E224" s="999"/>
      <c r="F224" s="999"/>
      <c r="G224" s="999"/>
      <c r="H224" s="999"/>
      <c r="I224" s="744"/>
      <c r="K224" s="220" t="s">
        <v>635</v>
      </c>
    </row>
    <row r="225" spans="1:13" x14ac:dyDescent="0.2">
      <c r="A225" s="978" t="str">
        <f>A!$A$3</f>
        <v>For the 12 Months Ended December 31, 2017</v>
      </c>
      <c r="B225" s="978"/>
      <c r="C225" s="978"/>
      <c r="D225" s="978"/>
      <c r="E225" s="978"/>
      <c r="F225" s="978"/>
      <c r="G225" s="978"/>
      <c r="H225" s="978"/>
      <c r="I225" s="740"/>
      <c r="K225" s="221" t="str">
        <f>J3</f>
        <v>Witness: M. P. Balmert</v>
      </c>
    </row>
    <row r="226" spans="1:13" x14ac:dyDescent="0.2">
      <c r="A226" s="302"/>
      <c r="B226" s="302"/>
      <c r="C226" s="302"/>
      <c r="D226" s="302"/>
      <c r="E226" s="304"/>
      <c r="F226" s="304"/>
      <c r="G226" s="304"/>
      <c r="H226" s="304"/>
      <c r="I226" s="304"/>
      <c r="J226" s="304"/>
      <c r="K226" s="300"/>
    </row>
    <row r="227" spans="1:13" x14ac:dyDescent="0.2">
      <c r="A227" s="222"/>
      <c r="B227" s="222"/>
      <c r="C227" s="222"/>
      <c r="D227" s="222"/>
      <c r="E227" s="222"/>
      <c r="F227" s="849" t="s">
        <v>30</v>
      </c>
      <c r="G227" s="849" t="s">
        <v>30</v>
      </c>
      <c r="H227" s="849" t="s">
        <v>47</v>
      </c>
      <c r="I227" s="741" t="s">
        <v>552</v>
      </c>
      <c r="J227" s="740" t="s">
        <v>47</v>
      </c>
      <c r="K227" s="740" t="s">
        <v>30</v>
      </c>
    </row>
    <row r="228" spans="1:13" x14ac:dyDescent="0.2">
      <c r="A228" s="222"/>
      <c r="B228" s="222"/>
      <c r="C228" s="222"/>
      <c r="D228" s="281" t="s">
        <v>25</v>
      </c>
      <c r="E228" s="281" t="s">
        <v>444</v>
      </c>
      <c r="F228" s="281" t="s">
        <v>0</v>
      </c>
      <c r="G228" s="281" t="s">
        <v>20</v>
      </c>
      <c r="H228" s="281" t="s">
        <v>20</v>
      </c>
      <c r="I228" s="226" t="s">
        <v>149</v>
      </c>
      <c r="J228" s="281" t="s">
        <v>0</v>
      </c>
      <c r="K228" s="228" t="s">
        <v>150</v>
      </c>
    </row>
    <row r="229" spans="1:13" x14ac:dyDescent="0.2">
      <c r="A229" s="222"/>
      <c r="B229" s="222"/>
      <c r="C229" s="222"/>
      <c r="D229" s="222"/>
      <c r="E229" s="222"/>
      <c r="F229" s="283" t="s">
        <v>60</v>
      </c>
      <c r="G229" s="283" t="s">
        <v>60</v>
      </c>
      <c r="H229" s="283" t="s">
        <v>60</v>
      </c>
      <c r="J229" s="283" t="s">
        <v>60</v>
      </c>
      <c r="K229" s="283" t="s">
        <v>60</v>
      </c>
    </row>
    <row r="230" spans="1:13" x14ac:dyDescent="0.2">
      <c r="A230" s="259">
        <v>1</v>
      </c>
      <c r="B230" s="222"/>
      <c r="C230" s="285" t="s">
        <v>553</v>
      </c>
      <c r="D230" s="222"/>
      <c r="E230" s="222"/>
      <c r="F230" s="222"/>
      <c r="G230" s="222"/>
      <c r="H230" s="222"/>
      <c r="J230" s="222"/>
      <c r="K230" s="222"/>
    </row>
    <row r="231" spans="1:13" x14ac:dyDescent="0.2">
      <c r="A231" s="259"/>
      <c r="B231" s="222"/>
      <c r="C231" s="222"/>
      <c r="D231" s="222"/>
      <c r="E231" s="222"/>
      <c r="F231" s="222"/>
      <c r="G231" s="222"/>
      <c r="H231" s="222"/>
      <c r="J231" s="222"/>
      <c r="K231" s="222"/>
    </row>
    <row r="232" spans="1:13" x14ac:dyDescent="0.2">
      <c r="A232" s="259">
        <f>A230+1</f>
        <v>2</v>
      </c>
      <c r="B232" s="222"/>
      <c r="C232" s="222" t="s">
        <v>445</v>
      </c>
      <c r="D232" s="222"/>
      <c r="E232" s="286"/>
      <c r="F232" s="286"/>
      <c r="G232" s="286">
        <f>F16+F15+F28+F29+F32+F31</f>
        <v>5924504.1000000006</v>
      </c>
      <c r="H232" s="286"/>
      <c r="J232" s="286"/>
      <c r="K232" s="286"/>
    </row>
    <row r="233" spans="1:13" x14ac:dyDescent="0.2">
      <c r="A233" s="259">
        <f>A232+1</f>
        <v>3</v>
      </c>
      <c r="B233" s="222" t="s">
        <v>136</v>
      </c>
      <c r="C233" s="222" t="s">
        <v>555</v>
      </c>
      <c r="D233" s="222"/>
      <c r="E233" s="286"/>
      <c r="F233" s="286"/>
      <c r="G233" s="287">
        <f>F72</f>
        <v>224062.07999999999</v>
      </c>
      <c r="H233" s="286"/>
      <c r="J233" s="286"/>
      <c r="K233" s="286"/>
    </row>
    <row r="234" spans="1:13" x14ac:dyDescent="0.2">
      <c r="A234" s="259">
        <f t="shared" ref="A234:A242" si="42">A233+1</f>
        <v>4</v>
      </c>
      <c r="B234" s="222" t="s">
        <v>136</v>
      </c>
      <c r="C234" s="222" t="s">
        <v>556</v>
      </c>
      <c r="D234" s="222"/>
      <c r="E234" s="286"/>
      <c r="F234" s="286"/>
      <c r="G234" s="287">
        <f>F73</f>
        <v>221010.71999999997</v>
      </c>
      <c r="H234" s="286"/>
      <c r="J234" s="286"/>
      <c r="K234" s="286"/>
    </row>
    <row r="235" spans="1:13" x14ac:dyDescent="0.2">
      <c r="A235" s="259">
        <f t="shared" si="42"/>
        <v>5</v>
      </c>
      <c r="B235" s="222" t="s">
        <v>136</v>
      </c>
      <c r="C235" s="222" t="s">
        <v>559</v>
      </c>
      <c r="D235" s="222"/>
      <c r="E235" s="286"/>
      <c r="F235" s="286"/>
      <c r="G235" s="287">
        <f>F75</f>
        <v>192155.4</v>
      </c>
      <c r="H235" s="286"/>
      <c r="J235" s="286"/>
      <c r="K235" s="286"/>
    </row>
    <row r="236" spans="1:13" x14ac:dyDescent="0.2">
      <c r="A236" s="259">
        <f t="shared" si="42"/>
        <v>6</v>
      </c>
      <c r="B236" s="222" t="s">
        <v>136</v>
      </c>
      <c r="C236" s="222" t="s">
        <v>557</v>
      </c>
      <c r="D236" s="222"/>
      <c r="E236" s="286"/>
      <c r="F236" s="286"/>
      <c r="G236" s="287">
        <f>F76</f>
        <v>666000.39999999991</v>
      </c>
      <c r="H236" s="286"/>
      <c r="J236" s="286"/>
      <c r="K236" s="286"/>
    </row>
    <row r="237" spans="1:13" x14ac:dyDescent="0.2">
      <c r="A237" s="259">
        <f t="shared" si="42"/>
        <v>7</v>
      </c>
      <c r="B237" s="222" t="s">
        <v>446</v>
      </c>
      <c r="C237" s="222" t="s">
        <v>447</v>
      </c>
      <c r="D237" s="222"/>
      <c r="E237" s="286"/>
      <c r="F237" s="286"/>
      <c r="G237" s="273">
        <f>G156</f>
        <v>1021782</v>
      </c>
      <c r="H237" s="286"/>
      <c r="J237" s="286"/>
      <c r="K237" s="286"/>
    </row>
    <row r="238" spans="1:13" x14ac:dyDescent="0.2">
      <c r="A238" s="259">
        <f t="shared" si="42"/>
        <v>8</v>
      </c>
      <c r="B238" s="222"/>
      <c r="C238" s="222" t="s">
        <v>449</v>
      </c>
      <c r="D238" s="222"/>
      <c r="E238" s="286"/>
      <c r="F238" s="286"/>
      <c r="G238" s="286">
        <f>G232-SUM(G233:G236)+G237</f>
        <v>5643057.5000000009</v>
      </c>
      <c r="H238" s="286"/>
      <c r="J238" s="286"/>
      <c r="K238" s="286"/>
      <c r="M238" s="240"/>
    </row>
    <row r="239" spans="1:13" x14ac:dyDescent="0.2">
      <c r="A239" s="259">
        <f t="shared" si="42"/>
        <v>9</v>
      </c>
      <c r="B239" s="222" t="s">
        <v>136</v>
      </c>
      <c r="C239" s="222" t="s">
        <v>543</v>
      </c>
      <c r="D239" s="286">
        <f>D16+D15</f>
        <v>896</v>
      </c>
      <c r="E239" s="286"/>
      <c r="F239" s="847">
        <v>2007</v>
      </c>
      <c r="G239" s="286">
        <f>ROUND(D239*F239,0)</f>
        <v>1798272</v>
      </c>
      <c r="H239" s="286">
        <f>'Sch M 2.2'!Q753+'Sch M 2.2'!Q939+'Sch M 2.2'!Q966+'Sch M 2.2'!Q1211</f>
        <v>902316.80000000016</v>
      </c>
      <c r="I239" s="222"/>
      <c r="J239" s="288">
        <f>'Sch M 2.2'!D966</f>
        <v>1007.05</v>
      </c>
      <c r="K239" s="286">
        <f>G239-H239</f>
        <v>895955.19999999984</v>
      </c>
      <c r="L239" s="222"/>
      <c r="M239" s="286"/>
    </row>
    <row r="240" spans="1:13" x14ac:dyDescent="0.2">
      <c r="A240" s="259">
        <f t="shared" si="42"/>
        <v>10</v>
      </c>
      <c r="B240" s="222" t="s">
        <v>136</v>
      </c>
      <c r="C240" s="222" t="s">
        <v>617</v>
      </c>
      <c r="D240" s="286">
        <f>D239</f>
        <v>896</v>
      </c>
      <c r="E240" s="286"/>
      <c r="F240" s="847">
        <v>0</v>
      </c>
      <c r="G240" s="286">
        <f>ROUND(D240*F240,0)</f>
        <v>0</v>
      </c>
      <c r="H240" s="286">
        <f>'Sch M 2.2'!Q754+'Sch M 2.2'!Q940+'Sch M 2.2'!Q967+'Sch M 2.2'!Q1212</f>
        <v>50086.399999999994</v>
      </c>
      <c r="I240" s="222"/>
      <c r="J240" s="288">
        <f>'Sch M 2.2'!D967</f>
        <v>55.9</v>
      </c>
      <c r="K240" s="286">
        <f>G240-H240</f>
        <v>-50086.399999999994</v>
      </c>
      <c r="L240" s="222"/>
      <c r="M240" s="286"/>
    </row>
    <row r="241" spans="1:13" x14ac:dyDescent="0.2">
      <c r="A241" s="259">
        <f t="shared" si="42"/>
        <v>11</v>
      </c>
      <c r="B241" s="222" t="s">
        <v>136</v>
      </c>
      <c r="C241" s="222" t="s">
        <v>628</v>
      </c>
      <c r="D241" s="286">
        <f>D239</f>
        <v>896</v>
      </c>
      <c r="E241" s="286"/>
      <c r="F241" s="847">
        <v>0</v>
      </c>
      <c r="G241" s="273">
        <f>ROUND(D241*F241,0)</f>
        <v>0</v>
      </c>
      <c r="H241" s="286">
        <f>'Sch M 2.2'!Q968+'Sch M 2.2'!Q941+'Sch M 2.2'!Q1213+'Sch M 2.2'!Q754</f>
        <v>402832.64000000001</v>
      </c>
      <c r="I241" s="288"/>
      <c r="J241" s="288">
        <f>'Sch M 2.2'!D968</f>
        <v>449.59</v>
      </c>
      <c r="K241" s="286">
        <f>G241-H241</f>
        <v>-402832.64000000001</v>
      </c>
      <c r="L241" s="222"/>
      <c r="M241" s="286"/>
    </row>
    <row r="242" spans="1:13" x14ac:dyDescent="0.2">
      <c r="A242" s="259">
        <f t="shared" si="42"/>
        <v>12</v>
      </c>
      <c r="B242" s="222"/>
      <c r="C242" s="222" t="s">
        <v>152</v>
      </c>
      <c r="D242" s="222"/>
      <c r="E242" s="222"/>
      <c r="F242" s="222"/>
      <c r="G242" s="286">
        <f>G238-G239-G240-G241</f>
        <v>3844785.5000000009</v>
      </c>
      <c r="H242" s="222"/>
      <c r="I242" s="222"/>
      <c r="J242" s="222"/>
      <c r="K242" s="240"/>
      <c r="M242" s="240"/>
    </row>
    <row r="243" spans="1:13" x14ac:dyDescent="0.2">
      <c r="A243" s="259"/>
      <c r="B243" s="222"/>
      <c r="C243" s="222"/>
      <c r="D243" s="222"/>
      <c r="E243" s="222"/>
      <c r="F243" s="222"/>
      <c r="G243" s="286"/>
      <c r="H243" s="222"/>
      <c r="I243" s="222"/>
      <c r="J243" s="222"/>
      <c r="K243" s="240"/>
    </row>
    <row r="244" spans="1:13" x14ac:dyDescent="0.2">
      <c r="A244" s="259">
        <f>A242+1</f>
        <v>13</v>
      </c>
      <c r="B244" s="222"/>
      <c r="C244" s="222" t="s">
        <v>487</v>
      </c>
      <c r="D244" s="222"/>
      <c r="E244" s="293">
        <f>'Sch M 2.2'!Q757+'Sch M 2.2'!Q944+'Sch M 2.2'!Q971</f>
        <v>4984551.3999999994</v>
      </c>
      <c r="F244" s="294">
        <f>ROUND(G244/E244,4)</f>
        <v>0.6321</v>
      </c>
      <c r="G244" s="888">
        <f>ROUND($G$242*I244,0)-50000+6750</f>
        <v>3150604</v>
      </c>
      <c r="H244" s="286">
        <f>'Sch M 2.2'!Q762+'Sch M 2.2'!Q949+'Sch M 2.2'!Q976+'Sch M 2.2'!Q1221</f>
        <v>2713091.33</v>
      </c>
      <c r="I244" s="754">
        <f>ROUND(H244/$H$247,10)</f>
        <v>0.83069760699999995</v>
      </c>
      <c r="J244" s="289">
        <f>'Sch M 2.2'!D949</f>
        <v>0.54430000000000001</v>
      </c>
      <c r="K244" s="240">
        <f>G244-H244</f>
        <v>437512.66999999993</v>
      </c>
    </row>
    <row r="245" spans="1:13" x14ac:dyDescent="0.2">
      <c r="A245" s="259">
        <f>A244+1</f>
        <v>14</v>
      </c>
      <c r="B245" s="222"/>
      <c r="C245" s="222" t="s">
        <v>648</v>
      </c>
      <c r="D245" s="222"/>
      <c r="E245" s="293">
        <f>'Sch M 2.2'!Q758+'Sch M 2.2'!Q945+'Sch M 2.2'!Q972</f>
        <v>1347784</v>
      </c>
      <c r="F245" s="294">
        <f>ROUND(G245/E245,4)</f>
        <v>0.37730000000000002</v>
      </c>
      <c r="G245" s="888">
        <f>ROUND($G$242*I245,0)+50000</f>
        <v>508531</v>
      </c>
      <c r="H245" s="286">
        <f>'Sch M 2.2'!Q763+'Sch M 2.2'!Q950+'Sch M 2.2'!Q977+'Sch M 2.2'!Q1222</f>
        <v>389509.58</v>
      </c>
      <c r="I245" s="754">
        <f>ROUND(H245/$H$247,10)</f>
        <v>0.1192605175</v>
      </c>
      <c r="J245" s="289">
        <f>'Sch M 2.2'!D950</f>
        <v>0.28899999999999998</v>
      </c>
      <c r="K245" s="240">
        <f>G245-H245</f>
        <v>119021.41999999998</v>
      </c>
    </row>
    <row r="246" spans="1:13" x14ac:dyDescent="0.2">
      <c r="A246" s="259">
        <f>A245+1</f>
        <v>15</v>
      </c>
      <c r="B246" s="222"/>
      <c r="C246" s="222" t="s">
        <v>649</v>
      </c>
      <c r="D246" s="222"/>
      <c r="E246" s="515">
        <f>'Sch M 2.2'!Q759+'Sch M 2.2'!Q946+'Sch M 2.2'!Q973</f>
        <v>565532</v>
      </c>
      <c r="F246" s="294">
        <f>ROUND(G246/E246,4)</f>
        <v>0.32829999999999998</v>
      </c>
      <c r="G246" s="889">
        <f>ROUND($G$242*I246,0)-6750</f>
        <v>185650</v>
      </c>
      <c r="H246" s="273">
        <f>'Sch M 2.2'!Q764+'Sch M 2.2'!Q951+'Sch M 2.2'!Q978+'Sch M 2.2'!Q1223</f>
        <v>163438.75</v>
      </c>
      <c r="I246" s="755">
        <f>ROUND(H246/$H$247,10)</f>
        <v>5.0041875499999999E-2</v>
      </c>
      <c r="J246" s="289">
        <f>'Sch M 2.2'!D951</f>
        <v>0.28899999999999998</v>
      </c>
      <c r="K246" s="431">
        <f>G246-H246</f>
        <v>22211.25</v>
      </c>
    </row>
    <row r="247" spans="1:13" x14ac:dyDescent="0.2">
      <c r="A247" s="259">
        <f>A246+1</f>
        <v>16</v>
      </c>
      <c r="B247" s="222"/>
      <c r="C247" s="222" t="s">
        <v>547</v>
      </c>
      <c r="D247" s="222"/>
      <c r="E247" s="293">
        <f>SUM(E244:E246)</f>
        <v>6897867.3999999994</v>
      </c>
      <c r="F247" s="222"/>
      <c r="G247" s="286">
        <f>SUM(G244:G246)</f>
        <v>3844785</v>
      </c>
      <c r="H247" s="286">
        <f>SUM(H244:H246)</f>
        <v>3266039.66</v>
      </c>
      <c r="I247" s="754">
        <f>SUM(I244:I246)</f>
        <v>1</v>
      </c>
      <c r="K247" s="240">
        <f>SUM(K244:K246)</f>
        <v>578745.33999999985</v>
      </c>
    </row>
    <row r="248" spans="1:13" x14ac:dyDescent="0.2">
      <c r="A248" s="259"/>
      <c r="B248" s="222"/>
      <c r="C248" s="262"/>
      <c r="D248" s="262"/>
      <c r="E248" s="296"/>
      <c r="F248" s="297"/>
      <c r="G248" s="271"/>
      <c r="H248" s="271"/>
      <c r="I248" s="262"/>
      <c r="J248" s="271"/>
      <c r="K248" s="299"/>
    </row>
    <row r="249" spans="1:13" x14ac:dyDescent="0.2">
      <c r="A249" s="259">
        <f>A247+1</f>
        <v>17</v>
      </c>
      <c r="B249" s="222"/>
      <c r="C249" s="262" t="s">
        <v>448</v>
      </c>
      <c r="D249" s="262"/>
      <c r="E249" s="296"/>
      <c r="F249" s="271"/>
      <c r="G249" s="271"/>
      <c r="H249" s="271"/>
      <c r="I249" s="298"/>
      <c r="K249" s="271">
        <f>K247+K239+K240+K241</f>
        <v>1021781.4999999997</v>
      </c>
    </row>
    <row r="250" spans="1:13" x14ac:dyDescent="0.2">
      <c r="A250" s="259"/>
      <c r="B250" s="222"/>
      <c r="C250" s="262"/>
      <c r="D250" s="262"/>
      <c r="E250" s="296"/>
      <c r="F250" s="271"/>
      <c r="G250" s="271"/>
      <c r="H250" s="271"/>
      <c r="I250" s="298"/>
      <c r="K250" s="271"/>
    </row>
    <row r="251" spans="1:13" x14ac:dyDescent="0.2">
      <c r="A251" s="848"/>
      <c r="B251" s="222"/>
      <c r="C251" s="262"/>
      <c r="D251" s="262"/>
      <c r="E251" s="296"/>
      <c r="F251" s="271"/>
      <c r="G251" s="271"/>
      <c r="H251" s="271"/>
      <c r="I251" s="298"/>
      <c r="K251" s="271"/>
    </row>
    <row r="252" spans="1:13" x14ac:dyDescent="0.2">
      <c r="A252" s="259"/>
      <c r="B252" s="222"/>
      <c r="C252" s="262"/>
      <c r="D252" s="262"/>
      <c r="E252" s="296"/>
      <c r="F252" s="271"/>
      <c r="G252" s="271"/>
      <c r="H252" s="271"/>
      <c r="I252" s="298"/>
      <c r="K252" s="271"/>
    </row>
    <row r="253" spans="1:13" x14ac:dyDescent="0.2">
      <c r="A253" s="978" t="str">
        <f>A1</f>
        <v>Columbia Gas of Kentucky, Inc.</v>
      </c>
      <c r="B253" s="978"/>
      <c r="C253" s="978"/>
      <c r="D253" s="978"/>
      <c r="E253" s="978"/>
      <c r="F253" s="978"/>
      <c r="G253" s="978"/>
      <c r="H253" s="978"/>
      <c r="I253" s="740"/>
      <c r="K253" s="220" t="str">
        <f>J1</f>
        <v>Attachment MPB-1</v>
      </c>
    </row>
    <row r="254" spans="1:13" x14ac:dyDescent="0.2">
      <c r="A254" s="999" t="s">
        <v>423</v>
      </c>
      <c r="B254" s="999"/>
      <c r="C254" s="999"/>
      <c r="D254" s="999"/>
      <c r="E254" s="999"/>
      <c r="F254" s="999"/>
      <c r="G254" s="999"/>
      <c r="H254" s="999"/>
      <c r="I254" s="744"/>
      <c r="K254" s="220" t="s">
        <v>636</v>
      </c>
    </row>
    <row r="255" spans="1:13" x14ac:dyDescent="0.2">
      <c r="A255" s="978" t="str">
        <f>A!$A$3</f>
        <v>For the 12 Months Ended December 31, 2017</v>
      </c>
      <c r="B255" s="978"/>
      <c r="C255" s="978"/>
      <c r="D255" s="978"/>
      <c r="E255" s="978"/>
      <c r="F255" s="978"/>
      <c r="G255" s="978"/>
      <c r="H255" s="978"/>
      <c r="I255" s="740"/>
      <c r="K255" s="221" t="str">
        <f>J3</f>
        <v>Witness: M. P. Balmert</v>
      </c>
    </row>
    <row r="256" spans="1:13" x14ac:dyDescent="0.2">
      <c r="A256" s="302"/>
      <c r="B256" s="302"/>
      <c r="C256" s="302"/>
      <c r="D256" s="302"/>
      <c r="E256" s="304"/>
      <c r="F256" s="304"/>
      <c r="G256" s="304"/>
      <c r="H256" s="304"/>
      <c r="I256" s="304"/>
      <c r="J256" s="304"/>
      <c r="K256" s="300"/>
    </row>
    <row r="257" spans="1:11" x14ac:dyDescent="0.2">
      <c r="A257" s="222"/>
      <c r="B257" s="222"/>
      <c r="C257" s="222"/>
      <c r="D257" s="222"/>
      <c r="E257" s="222"/>
      <c r="F257" s="849" t="s">
        <v>30</v>
      </c>
      <c r="G257" s="849" t="s">
        <v>30</v>
      </c>
      <c r="H257" s="849" t="s">
        <v>47</v>
      </c>
      <c r="I257" s="741" t="s">
        <v>552</v>
      </c>
      <c r="J257" s="740" t="s">
        <v>47</v>
      </c>
      <c r="K257" s="740" t="s">
        <v>30</v>
      </c>
    </row>
    <row r="258" spans="1:11" x14ac:dyDescent="0.2">
      <c r="A258" s="222"/>
      <c r="B258" s="222"/>
      <c r="C258" s="222"/>
      <c r="D258" s="281" t="s">
        <v>25</v>
      </c>
      <c r="E258" s="281" t="s">
        <v>444</v>
      </c>
      <c r="F258" s="281" t="s">
        <v>0</v>
      </c>
      <c r="G258" s="281" t="s">
        <v>20</v>
      </c>
      <c r="H258" s="281" t="s">
        <v>20</v>
      </c>
      <c r="I258" s="226" t="s">
        <v>149</v>
      </c>
      <c r="J258" s="281" t="s">
        <v>0</v>
      </c>
      <c r="K258" s="228" t="s">
        <v>150</v>
      </c>
    </row>
    <row r="259" spans="1:11" x14ac:dyDescent="0.2">
      <c r="A259" s="222"/>
      <c r="B259" s="222"/>
      <c r="C259" s="222"/>
      <c r="D259" s="222"/>
      <c r="E259" s="222"/>
      <c r="F259" s="283" t="s">
        <v>60</v>
      </c>
      <c r="G259" s="283" t="s">
        <v>60</v>
      </c>
      <c r="H259" s="283" t="s">
        <v>60</v>
      </c>
      <c r="J259" s="283" t="s">
        <v>60</v>
      </c>
      <c r="K259" s="283" t="s">
        <v>60</v>
      </c>
    </row>
    <row r="260" spans="1:11" x14ac:dyDescent="0.2">
      <c r="A260" s="259">
        <v>1</v>
      </c>
      <c r="B260" s="222"/>
      <c r="C260" s="285" t="s">
        <v>560</v>
      </c>
      <c r="D260" s="222"/>
      <c r="E260" s="222"/>
      <c r="F260" s="222"/>
      <c r="G260" s="222"/>
      <c r="H260" s="222"/>
      <c r="J260" s="222"/>
      <c r="K260" s="222"/>
    </row>
    <row r="261" spans="1:11" x14ac:dyDescent="0.2">
      <c r="A261" s="259"/>
      <c r="B261" s="222"/>
      <c r="C261" s="222"/>
      <c r="D261" s="222"/>
      <c r="E261" s="222"/>
      <c r="F261" s="222"/>
      <c r="G261" s="222"/>
      <c r="H261" s="222"/>
      <c r="J261" s="222"/>
      <c r="K261" s="222"/>
    </row>
    <row r="262" spans="1:11" x14ac:dyDescent="0.2">
      <c r="A262" s="259">
        <f>A260+1</f>
        <v>2</v>
      </c>
      <c r="B262" s="222"/>
      <c r="C262" s="222" t="s">
        <v>445</v>
      </c>
      <c r="D262" s="222"/>
      <c r="E262" s="286"/>
      <c r="F262" s="286"/>
      <c r="G262" s="286">
        <f>F17</f>
        <v>47824.330000000009</v>
      </c>
      <c r="H262" s="286"/>
      <c r="J262" s="286"/>
      <c r="K262" s="286"/>
    </row>
    <row r="263" spans="1:11" x14ac:dyDescent="0.2">
      <c r="A263" s="259">
        <f>A262+1</f>
        <v>3</v>
      </c>
      <c r="B263" s="222" t="s">
        <v>136</v>
      </c>
      <c r="C263" s="222" t="s">
        <v>344</v>
      </c>
      <c r="D263" s="222"/>
      <c r="E263" s="286"/>
      <c r="F263" s="286"/>
      <c r="G263" s="287">
        <f>F99</f>
        <v>25008.560000000001</v>
      </c>
      <c r="H263" s="286"/>
      <c r="J263" s="286"/>
      <c r="K263" s="286"/>
    </row>
    <row r="264" spans="1:11" x14ac:dyDescent="0.2">
      <c r="A264" s="259">
        <f>A263+1</f>
        <v>4</v>
      </c>
      <c r="B264" s="222" t="s">
        <v>136</v>
      </c>
      <c r="C264" s="222" t="s">
        <v>530</v>
      </c>
      <c r="D264" s="222"/>
      <c r="E264" s="286"/>
      <c r="F264" s="286"/>
      <c r="G264" s="287">
        <f>F119</f>
        <v>294.35999999999996</v>
      </c>
      <c r="H264" s="286"/>
      <c r="J264" s="286"/>
      <c r="K264" s="286"/>
    </row>
    <row r="265" spans="1:11" x14ac:dyDescent="0.2">
      <c r="A265" s="259">
        <f>A264+1</f>
        <v>5</v>
      </c>
      <c r="B265" s="222" t="s">
        <v>446</v>
      </c>
      <c r="C265" s="222" t="s">
        <v>447</v>
      </c>
      <c r="D265" s="222"/>
      <c r="E265" s="286"/>
      <c r="F265" s="286"/>
      <c r="G265" s="273">
        <f>H156</f>
        <v>4268</v>
      </c>
      <c r="H265" s="286"/>
      <c r="J265" s="286"/>
      <c r="K265" s="286"/>
    </row>
    <row r="266" spans="1:11" x14ac:dyDescent="0.2">
      <c r="A266" s="259">
        <f>A265+1</f>
        <v>6</v>
      </c>
      <c r="B266" s="222"/>
      <c r="C266" s="222" t="s">
        <v>449</v>
      </c>
      <c r="D266" s="222"/>
      <c r="E266" s="286"/>
      <c r="F266" s="286"/>
      <c r="G266" s="286">
        <f>G262-SUM(G263:G264)+G265</f>
        <v>26789.410000000007</v>
      </c>
      <c r="H266" s="286"/>
      <c r="J266" s="286"/>
      <c r="K266" s="286"/>
    </row>
    <row r="267" spans="1:11" x14ac:dyDescent="0.2">
      <c r="A267" s="259">
        <f>A266+1</f>
        <v>7</v>
      </c>
      <c r="B267" s="222" t="s">
        <v>136</v>
      </c>
      <c r="C267" s="222" t="s">
        <v>543</v>
      </c>
      <c r="D267" s="286">
        <f>D17</f>
        <v>24</v>
      </c>
      <c r="E267" s="286"/>
      <c r="F267" s="847">
        <f>ROUND(G265/(H267+H268+H269+H272)*J267,2)+J267</f>
        <v>567.4</v>
      </c>
      <c r="G267" s="286">
        <f>ROUND(D267*F267,0)</f>
        <v>13618</v>
      </c>
      <c r="H267" s="286">
        <f>'Sch M 2.2'!Q784</f>
        <v>11448</v>
      </c>
      <c r="J267" s="288">
        <f>'Sch M 2.2'!D784</f>
        <v>477</v>
      </c>
      <c r="K267" s="286">
        <f>G267-H267</f>
        <v>2170</v>
      </c>
    </row>
    <row r="268" spans="1:11" x14ac:dyDescent="0.2">
      <c r="A268" s="259">
        <f t="shared" ref="A268" si="43">A267+1</f>
        <v>8</v>
      </c>
      <c r="B268" s="222" t="s">
        <v>136</v>
      </c>
      <c r="C268" s="222" t="s">
        <v>628</v>
      </c>
      <c r="D268" s="286">
        <f>D267</f>
        <v>24</v>
      </c>
      <c r="E268" s="286"/>
      <c r="F268" s="847">
        <v>0</v>
      </c>
      <c r="G268" s="273">
        <f>ROUND(D268*F268,0)</f>
        <v>0</v>
      </c>
      <c r="H268" s="286">
        <f>'Sch M 2.2'!Q785</f>
        <v>1847.0400000000002</v>
      </c>
      <c r="I268" s="288"/>
      <c r="J268" s="288">
        <f>'Sch M 2.2'!D785</f>
        <v>76.959999999999994</v>
      </c>
      <c r="K268" s="286">
        <f>G268-H268</f>
        <v>-1847.0400000000002</v>
      </c>
    </row>
    <row r="269" spans="1:11" x14ac:dyDescent="0.2">
      <c r="A269" s="259">
        <f>A268+1</f>
        <v>9</v>
      </c>
      <c r="B269" s="222"/>
      <c r="C269" s="222" t="s">
        <v>152</v>
      </c>
      <c r="D269" s="222"/>
      <c r="E269" s="222"/>
      <c r="F269" s="222"/>
      <c r="G269" s="286">
        <f>G266-G267-G268</f>
        <v>13171.410000000007</v>
      </c>
      <c r="H269" s="222"/>
      <c r="I269" s="222"/>
      <c r="J269" s="222"/>
      <c r="K269" s="240"/>
    </row>
    <row r="270" spans="1:11" x14ac:dyDescent="0.2">
      <c r="A270" s="259"/>
      <c r="B270" s="222"/>
      <c r="C270" s="222"/>
      <c r="D270" s="222"/>
      <c r="E270" s="222"/>
      <c r="F270" s="222"/>
      <c r="G270" s="286"/>
      <c r="H270" s="222"/>
      <c r="I270" s="222"/>
      <c r="J270" s="222"/>
      <c r="K270" s="240"/>
    </row>
    <row r="271" spans="1:11" x14ac:dyDescent="0.2">
      <c r="A271" s="259">
        <f>A269+1</f>
        <v>10</v>
      </c>
      <c r="B271" s="222"/>
      <c r="C271" s="222" t="s">
        <v>110</v>
      </c>
      <c r="D271" s="222"/>
      <c r="E271" s="515">
        <f>'Sch M 2.2'!Q787</f>
        <v>11320.699999999999</v>
      </c>
      <c r="F271" s="853">
        <f>IF(E271=0,0,ROUND(G271/E271,4))</f>
        <v>1.1635</v>
      </c>
      <c r="G271" s="273">
        <f>G269</f>
        <v>13171.410000000007</v>
      </c>
      <c r="H271" s="286">
        <f>'Sch M 2.2'!Q788</f>
        <v>9226.369999999999</v>
      </c>
      <c r="I271" s="754"/>
      <c r="J271" s="289">
        <f>'Sch M 2.2'!D788</f>
        <v>0.81499999999999995</v>
      </c>
      <c r="K271" s="431">
        <f>G271-H271</f>
        <v>3945.0400000000081</v>
      </c>
    </row>
    <row r="272" spans="1:11" x14ac:dyDescent="0.2">
      <c r="A272" s="259">
        <f>A271+1</f>
        <v>11</v>
      </c>
      <c r="B272" s="222"/>
      <c r="C272" s="222" t="s">
        <v>547</v>
      </c>
      <c r="D272" s="222"/>
      <c r="E272" s="293">
        <f>SUM(E271:E271)</f>
        <v>11320.699999999999</v>
      </c>
      <c r="F272" s="222"/>
      <c r="G272" s="286">
        <f>SUM(G271:G271)</f>
        <v>13171.410000000007</v>
      </c>
      <c r="H272" s="286">
        <f>SUM(H271:H271)</f>
        <v>9226.369999999999</v>
      </c>
      <c r="I272" s="754"/>
      <c r="K272" s="240">
        <f>SUM(K271:K271)</f>
        <v>3945.0400000000081</v>
      </c>
    </row>
    <row r="273" spans="1:11" x14ac:dyDescent="0.2">
      <c r="A273" s="259"/>
      <c r="B273" s="222"/>
      <c r="C273" s="262"/>
      <c r="D273" s="262"/>
      <c r="E273" s="296"/>
      <c r="F273" s="297"/>
      <c r="G273" s="271"/>
      <c r="H273" s="271"/>
      <c r="I273" s="262"/>
      <c r="J273" s="271"/>
      <c r="K273" s="299"/>
    </row>
    <row r="274" spans="1:11" x14ac:dyDescent="0.2">
      <c r="A274" s="259">
        <f>A272+1</f>
        <v>12</v>
      </c>
      <c r="B274" s="222"/>
      <c r="C274" s="262" t="s">
        <v>448</v>
      </c>
      <c r="D274" s="262"/>
      <c r="E274" s="296"/>
      <c r="F274" s="271"/>
      <c r="G274" s="271"/>
      <c r="H274" s="271"/>
      <c r="I274" s="298"/>
      <c r="K274" s="271">
        <f>K272+K267+K268</f>
        <v>4268.0000000000082</v>
      </c>
    </row>
    <row r="275" spans="1:11" x14ac:dyDescent="0.2">
      <c r="A275" s="259"/>
      <c r="B275" s="222"/>
      <c r="C275" s="262"/>
      <c r="D275" s="262"/>
      <c r="E275" s="296"/>
      <c r="F275" s="271"/>
      <c r="G275" s="271"/>
      <c r="H275" s="271"/>
      <c r="I275" s="298"/>
      <c r="K275" s="271"/>
    </row>
    <row r="276" spans="1:11" x14ac:dyDescent="0.2">
      <c r="A276" s="259">
        <f>A274+1</f>
        <v>13</v>
      </c>
      <c r="B276" s="222"/>
      <c r="C276" s="285" t="s">
        <v>554</v>
      </c>
      <c r="D276" s="222"/>
      <c r="E276" s="222"/>
      <c r="F276" s="222"/>
      <c r="G276" s="222"/>
      <c r="H276" s="222"/>
      <c r="J276" s="222"/>
      <c r="K276" s="222"/>
    </row>
    <row r="277" spans="1:11" x14ac:dyDescent="0.2">
      <c r="A277" s="259"/>
      <c r="B277" s="222"/>
      <c r="C277" s="222"/>
      <c r="D277" s="222"/>
      <c r="E277" s="222"/>
      <c r="F277" s="222"/>
      <c r="G277" s="222"/>
      <c r="H277" s="222"/>
      <c r="J277" s="222"/>
      <c r="K277" s="222"/>
    </row>
    <row r="278" spans="1:11" x14ac:dyDescent="0.2">
      <c r="A278" s="259">
        <f>A276+1</f>
        <v>14</v>
      </c>
      <c r="B278" s="222"/>
      <c r="C278" s="222" t="s">
        <v>445</v>
      </c>
      <c r="D278" s="222"/>
      <c r="E278" s="286"/>
      <c r="F278" s="286"/>
      <c r="G278" s="286">
        <f>F27+F30</f>
        <v>479212.93999999994</v>
      </c>
      <c r="H278" s="286"/>
      <c r="J278" s="286"/>
      <c r="K278" s="286"/>
    </row>
    <row r="279" spans="1:11" x14ac:dyDescent="0.2">
      <c r="A279" s="259">
        <f>A278+1</f>
        <v>15</v>
      </c>
      <c r="B279" s="222" t="s">
        <v>136</v>
      </c>
      <c r="C279" s="222" t="s">
        <v>558</v>
      </c>
      <c r="D279" s="222"/>
      <c r="E279" s="286"/>
      <c r="F279" s="286"/>
      <c r="G279" s="287">
        <f>F74</f>
        <v>411572.36000000004</v>
      </c>
      <c r="H279" s="286"/>
      <c r="J279" s="286"/>
      <c r="K279" s="286"/>
    </row>
    <row r="280" spans="1:11" x14ac:dyDescent="0.2">
      <c r="A280" s="259">
        <f t="shared" ref="A280:A281" si="44">A279+1</f>
        <v>16</v>
      </c>
      <c r="B280" s="222" t="s">
        <v>446</v>
      </c>
      <c r="C280" s="222" t="s">
        <v>447</v>
      </c>
      <c r="D280" s="222"/>
      <c r="E280" s="286"/>
      <c r="F280" s="286"/>
      <c r="G280" s="273">
        <f>I156</f>
        <v>0</v>
      </c>
      <c r="H280" s="286"/>
      <c r="J280" s="286"/>
      <c r="K280" s="286"/>
    </row>
    <row r="281" spans="1:11" x14ac:dyDescent="0.2">
      <c r="A281" s="259">
        <f t="shared" si="44"/>
        <v>17</v>
      </c>
      <c r="B281" s="222"/>
      <c r="C281" s="222" t="s">
        <v>449</v>
      </c>
      <c r="D281" s="222"/>
      <c r="E281" s="286"/>
      <c r="F281" s="286"/>
      <c r="G281" s="286">
        <f>G278-SUM(G279:G279)+G280</f>
        <v>67640.5799999999</v>
      </c>
      <c r="H281" s="286"/>
      <c r="J281" s="286"/>
      <c r="K281" s="286"/>
    </row>
    <row r="282" spans="1:11" x14ac:dyDescent="0.2">
      <c r="A282" s="259">
        <f t="shared" ref="A282" si="45">A281+1</f>
        <v>18</v>
      </c>
      <c r="B282" s="222" t="s">
        <v>136</v>
      </c>
      <c r="C282" s="222" t="s">
        <v>543</v>
      </c>
      <c r="D282" s="286">
        <f>D71</f>
        <v>36</v>
      </c>
      <c r="E282" s="286"/>
      <c r="F282" s="847">
        <f>(ROUND(J282*(G280/G281),2)+J282)*0+255.9</f>
        <v>255.9</v>
      </c>
      <c r="G282" s="286">
        <f>ROUND(D282*F282,0)</f>
        <v>9212</v>
      </c>
      <c r="H282" s="286">
        <f>'Sch M 2.2'!Q1083</f>
        <v>7200</v>
      </c>
      <c r="J282" s="288">
        <f>'Sch M 2.2'!D1083</f>
        <v>200</v>
      </c>
      <c r="K282" s="286">
        <f>G282-H282</f>
        <v>2012</v>
      </c>
    </row>
    <row r="283" spans="1:11" x14ac:dyDescent="0.2">
      <c r="A283" s="259">
        <f>A282+1</f>
        <v>19</v>
      </c>
      <c r="B283" s="222" t="s">
        <v>136</v>
      </c>
      <c r="C283" s="222" t="s">
        <v>617</v>
      </c>
      <c r="D283" s="286">
        <f>D282</f>
        <v>36</v>
      </c>
      <c r="E283" s="286"/>
      <c r="F283" s="847">
        <v>0</v>
      </c>
      <c r="G283" s="273">
        <f>ROUND(D283*F283,0)</f>
        <v>0</v>
      </c>
      <c r="H283" s="286">
        <f>'Sch M 2.2'!Q1084</f>
        <v>2012.4000000000003</v>
      </c>
      <c r="J283" s="288">
        <f>'Sch M 2.2'!D1084</f>
        <v>55.9</v>
      </c>
      <c r="K283" s="286">
        <f>G283-H283</f>
        <v>-2012.4000000000003</v>
      </c>
    </row>
    <row r="284" spans="1:11" x14ac:dyDescent="0.2">
      <c r="A284" s="259">
        <f>A283+1</f>
        <v>20</v>
      </c>
      <c r="B284" s="222"/>
      <c r="C284" s="222" t="s">
        <v>152</v>
      </c>
      <c r="D284" s="222"/>
      <c r="E284" s="222"/>
      <c r="F284" s="222"/>
      <c r="G284" s="286">
        <f>G281-G282-G283</f>
        <v>58428.5799999999</v>
      </c>
      <c r="H284" s="222"/>
      <c r="I284" s="222"/>
      <c r="J284" s="222"/>
      <c r="K284" s="240"/>
    </row>
    <row r="285" spans="1:11" x14ac:dyDescent="0.2">
      <c r="A285" s="259"/>
      <c r="B285" s="222"/>
      <c r="C285" s="222"/>
      <c r="D285" s="222"/>
      <c r="E285" s="222"/>
      <c r="F285" s="222"/>
      <c r="G285" s="286"/>
      <c r="H285" s="222"/>
      <c r="I285" s="222"/>
      <c r="J285" s="222"/>
      <c r="K285" s="240"/>
    </row>
    <row r="286" spans="1:11" x14ac:dyDescent="0.2">
      <c r="A286" s="259">
        <f>A284+1</f>
        <v>21</v>
      </c>
      <c r="B286" s="222"/>
      <c r="C286" s="222" t="s">
        <v>110</v>
      </c>
      <c r="D286" s="222"/>
      <c r="E286" s="515">
        <f>'Sch M 2.2'!Q1086</f>
        <v>680981</v>
      </c>
      <c r="F286" s="294">
        <f>ROUND(G286/E286,4)</f>
        <v>8.5800000000000001E-2</v>
      </c>
      <c r="G286" s="273">
        <f>G284</f>
        <v>58428.5799999999</v>
      </c>
      <c r="H286" s="273">
        <f>'Sch M 2.2'!Q1087</f>
        <v>58428.179999999993</v>
      </c>
      <c r="I286" s="754"/>
      <c r="J286" s="289">
        <f>'Sch M 2.2'!D1087</f>
        <v>8.5800000000000001E-2</v>
      </c>
      <c r="K286" s="431">
        <f>G286-H286</f>
        <v>0.39999999990686774</v>
      </c>
    </row>
    <row r="287" spans="1:11" x14ac:dyDescent="0.2">
      <c r="A287" s="259">
        <f>A286+1</f>
        <v>22</v>
      </c>
      <c r="B287" s="222"/>
      <c r="C287" s="222" t="s">
        <v>547</v>
      </c>
      <c r="D287" s="222"/>
      <c r="E287" s="293">
        <f>SUM(E286:E286)</f>
        <v>680981</v>
      </c>
      <c r="F287" s="222"/>
      <c r="G287" s="286">
        <f>SUM(G286:G286)</f>
        <v>58428.5799999999</v>
      </c>
      <c r="H287" s="286">
        <f>SUM(H286:H286)</f>
        <v>58428.179999999993</v>
      </c>
      <c r="I287" s="754"/>
      <c r="K287" s="240">
        <f>SUM(K286:K286)</f>
        <v>0.39999999990686774</v>
      </c>
    </row>
    <row r="288" spans="1:11" x14ac:dyDescent="0.2">
      <c r="A288" s="259"/>
      <c r="B288" s="222"/>
      <c r="C288" s="262"/>
      <c r="D288" s="262"/>
      <c r="E288" s="296"/>
      <c r="F288" s="297"/>
      <c r="G288" s="271"/>
      <c r="H288" s="271"/>
      <c r="I288" s="262"/>
      <c r="J288" s="271"/>
      <c r="K288" s="299"/>
    </row>
    <row r="289" spans="1:11" x14ac:dyDescent="0.2">
      <c r="A289" s="259">
        <f>A287+1</f>
        <v>23</v>
      </c>
      <c r="B289" s="222"/>
      <c r="C289" s="262" t="s">
        <v>448</v>
      </c>
      <c r="D289" s="262"/>
      <c r="E289" s="296"/>
      <c r="F289" s="271"/>
      <c r="G289" s="271"/>
      <c r="H289" s="271"/>
      <c r="I289" s="298"/>
      <c r="K289" s="271">
        <f>K287+K282+K283</f>
        <v>-9.3450580607168376E-11</v>
      </c>
    </row>
    <row r="290" spans="1:11" x14ac:dyDescent="0.2">
      <c r="A290" s="222"/>
      <c r="B290" s="222"/>
      <c r="C290" s="222"/>
      <c r="D290" s="222"/>
      <c r="E290" s="222"/>
      <c r="F290" s="222"/>
      <c r="G290" s="222"/>
      <c r="H290" s="222"/>
    </row>
    <row r="291" spans="1:11" x14ac:dyDescent="0.2">
      <c r="A291" s="460"/>
      <c r="B291" s="222"/>
      <c r="C291" s="222"/>
      <c r="D291" s="222"/>
      <c r="E291" s="222"/>
      <c r="F291" s="222"/>
      <c r="G291" s="222"/>
      <c r="H291" s="222"/>
    </row>
    <row r="292" spans="1:11" x14ac:dyDescent="0.2">
      <c r="A292" s="222"/>
      <c r="B292" s="222"/>
      <c r="C292" s="222"/>
      <c r="D292" s="222"/>
      <c r="E292" s="222"/>
      <c r="F292" s="222"/>
      <c r="G292" s="222"/>
      <c r="H292" s="222"/>
    </row>
  </sheetData>
  <mergeCells count="24">
    <mergeCell ref="A255:H255"/>
    <mergeCell ref="A253:H253"/>
    <mergeCell ref="A254:H254"/>
    <mergeCell ref="A195:H195"/>
    <mergeCell ref="A196:H196"/>
    <mergeCell ref="A225:H225"/>
    <mergeCell ref="A84:H84"/>
    <mergeCell ref="A1:H1"/>
    <mergeCell ref="A2:H2"/>
    <mergeCell ref="A3:H3"/>
    <mergeCell ref="A82:H82"/>
    <mergeCell ref="A83:H83"/>
    <mergeCell ref="A44:H44"/>
    <mergeCell ref="A45:H45"/>
    <mergeCell ref="A46:H46"/>
    <mergeCell ref="A166:H166"/>
    <mergeCell ref="A223:H223"/>
    <mergeCell ref="A224:H224"/>
    <mergeCell ref="A194:H194"/>
    <mergeCell ref="A123:H123"/>
    <mergeCell ref="A124:H124"/>
    <mergeCell ref="A125:H125"/>
    <mergeCell ref="A164:H164"/>
    <mergeCell ref="A165:H165"/>
  </mergeCells>
  <printOptions horizontalCentered="1"/>
  <pageMargins left="0" right="0" top="0.5" bottom="0.5" header="0.5" footer="0.5"/>
  <pageSetup scale="91" orientation="landscape" r:id="rId1"/>
  <headerFooter alignWithMargins="0">
    <oddHeader>&amp;LKY PSC Case No. 2016-0016
Attachment A to PSC 3-3(b)</oddHeader>
  </headerFooter>
  <rowBreaks count="7" manualBreakCount="7">
    <brk id="43" max="10" man="1"/>
    <brk id="81" max="10" man="1"/>
    <brk id="122" max="10" man="1"/>
    <brk id="163" max="10" man="1"/>
    <brk id="193" max="10" man="1"/>
    <brk id="222" max="10" man="1"/>
    <brk id="252" max="10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64" workbookViewId="0">
      <selection activeCell="B20" sqref="B20"/>
    </sheetView>
  </sheetViews>
  <sheetFormatPr defaultColWidth="9.6640625" defaultRowHeight="13.2" x14ac:dyDescent="0.25"/>
  <cols>
    <col min="1" max="1" width="10" style="1" bestFit="1" customWidth="1"/>
    <col min="2" max="2" width="61.6640625" style="1" bestFit="1" customWidth="1"/>
    <col min="3" max="3" width="13.83203125" style="1" bestFit="1" customWidth="1"/>
    <col min="4" max="4" width="10.83203125" style="1" bestFit="1" customWidth="1"/>
    <col min="5" max="5" width="15.1640625" style="1" bestFit="1" customWidth="1"/>
    <col min="6" max="6" width="13.1640625" style="1" customWidth="1"/>
    <col min="7" max="16384" width="9.6640625" style="1"/>
  </cols>
  <sheetData>
    <row r="1" spans="1:6" x14ac:dyDescent="0.25">
      <c r="F1" s="808" t="s">
        <v>582</v>
      </c>
    </row>
    <row r="2" spans="1:6" x14ac:dyDescent="0.25">
      <c r="F2" s="808" t="s">
        <v>450</v>
      </c>
    </row>
    <row r="3" spans="1:6" x14ac:dyDescent="0.25">
      <c r="F3" s="808" t="s">
        <v>608</v>
      </c>
    </row>
    <row r="4" spans="1:6" x14ac:dyDescent="0.25">
      <c r="F4" s="808" t="s">
        <v>622</v>
      </c>
    </row>
    <row r="5" spans="1:6" x14ac:dyDescent="0.25">
      <c r="A5" s="975" t="s">
        <v>36</v>
      </c>
      <c r="B5" s="975"/>
      <c r="C5" s="975"/>
      <c r="D5" s="975"/>
      <c r="E5" s="975"/>
      <c r="F5" s="975"/>
    </row>
    <row r="6" spans="1:6" x14ac:dyDescent="0.25">
      <c r="A6" s="975" t="s">
        <v>600</v>
      </c>
      <c r="B6" s="975"/>
      <c r="C6" s="975"/>
      <c r="D6" s="975"/>
      <c r="E6" s="975"/>
      <c r="F6" s="975"/>
    </row>
    <row r="7" spans="1:6" x14ac:dyDescent="0.25">
      <c r="A7" s="1000" t="s">
        <v>585</v>
      </c>
      <c r="B7" s="1001"/>
      <c r="C7" s="1001"/>
      <c r="D7" s="1001"/>
      <c r="E7" s="1001"/>
      <c r="F7" s="1001"/>
    </row>
    <row r="8" spans="1:6" x14ac:dyDescent="0.25">
      <c r="A8" s="9"/>
      <c r="B8" s="9"/>
      <c r="C8" s="818"/>
      <c r="D8" s="818"/>
      <c r="E8" s="818"/>
      <c r="F8" s="818"/>
    </row>
    <row r="9" spans="1:6" x14ac:dyDescent="0.25">
      <c r="A9" s="806" t="s">
        <v>1</v>
      </c>
      <c r="B9" s="23"/>
      <c r="C9" s="806"/>
      <c r="D9" s="806" t="s">
        <v>0</v>
      </c>
      <c r="E9" s="806"/>
      <c r="F9" s="806"/>
    </row>
    <row r="10" spans="1:6" x14ac:dyDescent="0.25">
      <c r="A10" s="3" t="s">
        <v>3</v>
      </c>
      <c r="B10" s="10" t="s">
        <v>586</v>
      </c>
      <c r="C10" s="3" t="s">
        <v>587</v>
      </c>
      <c r="D10" s="3" t="s">
        <v>609</v>
      </c>
      <c r="E10" s="3" t="s">
        <v>183</v>
      </c>
      <c r="F10" s="806"/>
    </row>
    <row r="11" spans="1:6" x14ac:dyDescent="0.25">
      <c r="A11" s="9"/>
      <c r="B11" s="9"/>
      <c r="C11" s="806" t="s">
        <v>22</v>
      </c>
      <c r="D11" s="806" t="s">
        <v>24</v>
      </c>
      <c r="E11" s="806" t="s">
        <v>24</v>
      </c>
      <c r="F11" s="806"/>
    </row>
    <row r="12" spans="1:6" x14ac:dyDescent="0.25">
      <c r="A12" s="9"/>
      <c r="B12" s="9"/>
      <c r="C12" s="806"/>
      <c r="D12" s="806"/>
      <c r="E12" s="806"/>
      <c r="F12" s="806"/>
    </row>
    <row r="13" spans="1:6" x14ac:dyDescent="0.25">
      <c r="A13" s="818">
        <v>1</v>
      </c>
      <c r="B13" s="23" t="s">
        <v>588</v>
      </c>
      <c r="C13" s="806"/>
      <c r="D13" s="806"/>
      <c r="E13" s="806"/>
      <c r="F13" s="806"/>
    </row>
    <row r="14" spans="1:6" x14ac:dyDescent="0.25">
      <c r="A14" s="9"/>
      <c r="B14" s="9"/>
      <c r="C14" s="9"/>
      <c r="D14" s="9"/>
      <c r="E14" s="9"/>
      <c r="F14" s="9"/>
    </row>
    <row r="15" spans="1:6" x14ac:dyDescent="0.25">
      <c r="A15" s="818">
        <f>A13+1</f>
        <v>2</v>
      </c>
      <c r="B15" s="9" t="s">
        <v>589</v>
      </c>
      <c r="C15" s="9"/>
      <c r="D15" s="821"/>
      <c r="E15" s="822">
        <f>Input!H19</f>
        <v>15</v>
      </c>
      <c r="F15" s="823"/>
    </row>
    <row r="16" spans="1:6" x14ac:dyDescent="0.25">
      <c r="A16" s="818">
        <f>A15+1</f>
        <v>3</v>
      </c>
      <c r="B16" s="9" t="s">
        <v>601</v>
      </c>
      <c r="C16" s="9"/>
      <c r="D16" s="824"/>
      <c r="E16" s="822">
        <f>Input!J19</f>
        <v>2.25</v>
      </c>
      <c r="F16" s="823"/>
    </row>
    <row r="17" spans="1:6" x14ac:dyDescent="0.25">
      <c r="A17" s="818">
        <f>A16+1</f>
        <v>4</v>
      </c>
      <c r="B17" s="9" t="s">
        <v>603</v>
      </c>
      <c r="C17" s="9"/>
      <c r="D17" s="824"/>
      <c r="E17" s="822">
        <f>Input!K19</f>
        <v>0.69</v>
      </c>
      <c r="F17" s="823"/>
    </row>
    <row r="18" spans="1:6" x14ac:dyDescent="0.25">
      <c r="A18" s="818"/>
      <c r="B18" s="9"/>
      <c r="C18" s="9"/>
      <c r="D18" s="825"/>
      <c r="E18" s="822"/>
      <c r="F18" s="823"/>
    </row>
    <row r="19" spans="1:6" x14ac:dyDescent="0.25">
      <c r="A19" s="818">
        <f>A16+1</f>
        <v>4</v>
      </c>
      <c r="B19" s="9" t="s">
        <v>110</v>
      </c>
      <c r="C19" s="820">
        <f>ROUND(('C'!P17+'C'!P187)/(B!P15+B!P162),1)</f>
        <v>5.5</v>
      </c>
      <c r="D19" s="826">
        <f>Input!C19</f>
        <v>2.2665999999999999</v>
      </c>
      <c r="E19" s="822">
        <f>ROUND(C19*D19,2)</f>
        <v>12.47</v>
      </c>
      <c r="F19" s="9"/>
    </row>
    <row r="20" spans="1:6" x14ac:dyDescent="0.25">
      <c r="A20" s="818">
        <f>A19+1</f>
        <v>5</v>
      </c>
      <c r="B20" s="9" t="s">
        <v>602</v>
      </c>
      <c r="C20" s="820">
        <f>$C$19</f>
        <v>5.5</v>
      </c>
      <c r="D20" s="826">
        <f>Input!M19</f>
        <v>1.3899999999999999E-2</v>
      </c>
      <c r="E20" s="822">
        <f t="shared" ref="E20:E23" si="0">ROUND(C20*D20,2)</f>
        <v>0.08</v>
      </c>
      <c r="F20" s="9"/>
    </row>
    <row r="21" spans="1:6" x14ac:dyDescent="0.25">
      <c r="A21" s="818">
        <f t="shared" ref="A21:A22" si="1">A20+1</f>
        <v>6</v>
      </c>
      <c r="B21" s="9" t="s">
        <v>604</v>
      </c>
      <c r="C21" s="820">
        <f t="shared" ref="C21:C23" si="2">$C$19</f>
        <v>5.5</v>
      </c>
      <c r="D21" s="826">
        <f>Input!L19</f>
        <v>5.9700000000000003E-2</v>
      </c>
      <c r="E21" s="822">
        <f t="shared" si="0"/>
        <v>0.33</v>
      </c>
      <c r="F21" s="9"/>
    </row>
    <row r="22" spans="1:6" x14ac:dyDescent="0.25">
      <c r="A22" s="818">
        <f t="shared" si="1"/>
        <v>7</v>
      </c>
      <c r="B22" s="9" t="s">
        <v>605</v>
      </c>
      <c r="C22" s="820">
        <f t="shared" si="2"/>
        <v>5.5</v>
      </c>
      <c r="D22" s="826">
        <f>EGC</f>
        <v>2.2090999999999998</v>
      </c>
      <c r="E22" s="822">
        <f t="shared" si="0"/>
        <v>12.15</v>
      </c>
      <c r="F22" s="9"/>
    </row>
    <row r="23" spans="1:6" ht="15" x14ac:dyDescent="0.4">
      <c r="A23" s="818">
        <f t="shared" ref="A23" si="3">A22+1</f>
        <v>8</v>
      </c>
      <c r="B23" s="9" t="s">
        <v>530</v>
      </c>
      <c r="C23" s="820">
        <f t="shared" si="2"/>
        <v>5.5</v>
      </c>
      <c r="D23" s="826">
        <f>Input!N19</f>
        <v>1.6E-2</v>
      </c>
      <c r="E23" s="827">
        <f t="shared" si="0"/>
        <v>0.09</v>
      </c>
      <c r="F23" s="9"/>
    </row>
    <row r="24" spans="1:6" x14ac:dyDescent="0.25">
      <c r="A24" s="818"/>
      <c r="B24" s="9"/>
      <c r="C24" s="820"/>
      <c r="D24" s="826"/>
      <c r="E24" s="828"/>
      <c r="F24" s="9"/>
    </row>
    <row r="25" spans="1:6" ht="13.8" thickBot="1" x14ac:dyDescent="0.3">
      <c r="A25" s="818">
        <f>A23+1</f>
        <v>9</v>
      </c>
      <c r="B25" s="9" t="s">
        <v>590</v>
      </c>
      <c r="C25" s="820">
        <f>C23</f>
        <v>5.5</v>
      </c>
      <c r="D25" s="25"/>
      <c r="E25" s="829">
        <f>SUM(E15:E23)</f>
        <v>43.06</v>
      </c>
      <c r="F25" s="830"/>
    </row>
    <row r="26" spans="1:6" ht="13.8" thickTop="1" x14ac:dyDescent="0.25">
      <c r="A26" s="9"/>
      <c r="B26" s="9"/>
      <c r="C26" s="9"/>
      <c r="D26" s="25"/>
      <c r="E26" s="819"/>
      <c r="F26" s="9"/>
    </row>
    <row r="27" spans="1:6" x14ac:dyDescent="0.25">
      <c r="A27" s="818">
        <f>A25+1</f>
        <v>10</v>
      </c>
      <c r="B27" s="23" t="s">
        <v>135</v>
      </c>
      <c r="C27" s="806"/>
      <c r="D27" s="831"/>
      <c r="E27" s="832"/>
      <c r="F27" s="9"/>
    </row>
    <row r="28" spans="1:6" x14ac:dyDescent="0.25">
      <c r="A28" s="9"/>
      <c r="B28" s="9"/>
      <c r="C28" s="9"/>
      <c r="D28" s="25"/>
      <c r="E28" s="819"/>
      <c r="F28" s="9"/>
    </row>
    <row r="29" spans="1:6" x14ac:dyDescent="0.25">
      <c r="A29" s="818">
        <f>A27+1</f>
        <v>11</v>
      </c>
      <c r="B29" s="9" t="s">
        <v>589</v>
      </c>
      <c r="C29" s="9"/>
      <c r="D29" s="821"/>
      <c r="E29" s="822">
        <f>Input!U19</f>
        <v>16</v>
      </c>
      <c r="F29" s="9"/>
    </row>
    <row r="30" spans="1:6" x14ac:dyDescent="0.25">
      <c r="A30" s="818">
        <f>A29+1</f>
        <v>12</v>
      </c>
      <c r="B30" s="9" t="s">
        <v>601</v>
      </c>
      <c r="C30" s="9"/>
      <c r="D30" s="824"/>
      <c r="E30" s="822">
        <f>Input!W19</f>
        <v>0</v>
      </c>
      <c r="F30" s="9"/>
    </row>
    <row r="31" spans="1:6" x14ac:dyDescent="0.25">
      <c r="A31" s="818">
        <f>A30+1</f>
        <v>13</v>
      </c>
      <c r="B31" s="9" t="s">
        <v>603</v>
      </c>
      <c r="C31" s="9"/>
      <c r="D31" s="824"/>
      <c r="E31" s="822">
        <f>Input!X19</f>
        <v>0.69</v>
      </c>
      <c r="F31" s="9"/>
    </row>
    <row r="32" spans="1:6" x14ac:dyDescent="0.25">
      <c r="A32" s="818"/>
      <c r="B32" s="9"/>
      <c r="C32" s="9"/>
      <c r="D32" s="825"/>
      <c r="E32" s="822"/>
      <c r="F32" s="9"/>
    </row>
    <row r="33" spans="1:6" x14ac:dyDescent="0.25">
      <c r="A33" s="818">
        <f>A31+1</f>
        <v>14</v>
      </c>
      <c r="B33" s="9" t="s">
        <v>110</v>
      </c>
      <c r="C33" s="820">
        <f t="shared" ref="C33:C37" si="4">$C$19</f>
        <v>5.5</v>
      </c>
      <c r="D33" s="826">
        <f>Input!P19</f>
        <v>3.5926999999999998</v>
      </c>
      <c r="E33" s="822">
        <f t="shared" ref="E33:E37" si="5">ROUND(C33*D33,2)</f>
        <v>19.760000000000002</v>
      </c>
      <c r="F33" s="9"/>
    </row>
    <row r="34" spans="1:6" x14ac:dyDescent="0.25">
      <c r="A34" s="818">
        <f>A33+1</f>
        <v>15</v>
      </c>
      <c r="B34" s="9" t="s">
        <v>602</v>
      </c>
      <c r="C34" s="820">
        <f t="shared" si="4"/>
        <v>5.5</v>
      </c>
      <c r="D34" s="826">
        <f>Input!Z19</f>
        <v>1.3899999999999999E-2</v>
      </c>
      <c r="E34" s="822">
        <f t="shared" si="5"/>
        <v>0.08</v>
      </c>
      <c r="F34" s="9"/>
    </row>
    <row r="35" spans="1:6" x14ac:dyDescent="0.25">
      <c r="A35" s="818">
        <f t="shared" ref="A35:A36" si="6">A34+1</f>
        <v>16</v>
      </c>
      <c r="B35" s="9" t="s">
        <v>604</v>
      </c>
      <c r="C35" s="820">
        <f t="shared" si="4"/>
        <v>5.5</v>
      </c>
      <c r="D35" s="826">
        <f>Input!Y19</f>
        <v>5.9700000000000003E-2</v>
      </c>
      <c r="E35" s="822">
        <f t="shared" si="5"/>
        <v>0.33</v>
      </c>
      <c r="F35" s="9"/>
    </row>
    <row r="36" spans="1:6" x14ac:dyDescent="0.25">
      <c r="A36" s="818">
        <f t="shared" si="6"/>
        <v>17</v>
      </c>
      <c r="B36" s="9" t="s">
        <v>605</v>
      </c>
      <c r="C36" s="820">
        <f t="shared" si="4"/>
        <v>5.5</v>
      </c>
      <c r="D36" s="826">
        <f>D22</f>
        <v>2.2090999999999998</v>
      </c>
      <c r="E36" s="822">
        <f t="shared" si="5"/>
        <v>12.15</v>
      </c>
      <c r="F36" s="9"/>
    </row>
    <row r="37" spans="1:6" x14ac:dyDescent="0.25">
      <c r="A37" s="818">
        <f t="shared" ref="A37" si="7">A36+1</f>
        <v>18</v>
      </c>
      <c r="B37" s="9" t="s">
        <v>530</v>
      </c>
      <c r="C37" s="820">
        <f t="shared" si="4"/>
        <v>5.5</v>
      </c>
      <c r="D37" s="826">
        <f>Input!AA19</f>
        <v>2.5999999999999999E-2</v>
      </c>
      <c r="E37" s="822">
        <f t="shared" si="5"/>
        <v>0.14000000000000001</v>
      </c>
      <c r="F37" s="9"/>
    </row>
    <row r="38" spans="1:6" x14ac:dyDescent="0.25">
      <c r="A38" s="818"/>
      <c r="B38" s="9"/>
      <c r="C38" s="820"/>
      <c r="D38" s="826"/>
      <c r="E38" s="833"/>
      <c r="F38" s="9"/>
    </row>
    <row r="39" spans="1:6" ht="13.8" thickBot="1" x14ac:dyDescent="0.3">
      <c r="A39" s="818">
        <f>A37+1</f>
        <v>19</v>
      </c>
      <c r="B39" s="9" t="s">
        <v>590</v>
      </c>
      <c r="C39" s="820">
        <f>C37</f>
        <v>5.5</v>
      </c>
      <c r="D39" s="25"/>
      <c r="E39" s="834">
        <f>SUM(E29:E37)</f>
        <v>49.15</v>
      </c>
      <c r="F39" s="9"/>
    </row>
    <row r="40" spans="1:6" ht="14.4" thickTop="1" thickBot="1" x14ac:dyDescent="0.3">
      <c r="A40" s="9"/>
      <c r="B40" s="9"/>
      <c r="C40" s="9"/>
      <c r="D40" s="9"/>
      <c r="E40" s="9"/>
      <c r="F40" s="9"/>
    </row>
    <row r="41" spans="1:6" ht="13.8" thickBot="1" x14ac:dyDescent="0.3">
      <c r="A41" s="818">
        <f>A39+1</f>
        <v>20</v>
      </c>
      <c r="B41" s="835" t="s">
        <v>591</v>
      </c>
      <c r="C41" s="836"/>
      <c r="D41" s="836"/>
      <c r="E41" s="837">
        <f>ROUND((E39-E25)/E25,4)</f>
        <v>0.1414</v>
      </c>
      <c r="F41" s="9"/>
    </row>
    <row r="42" spans="1:6" x14ac:dyDescent="0.25">
      <c r="A42" s="818"/>
      <c r="B42" s="23"/>
      <c r="C42" s="23"/>
      <c r="D42" s="23"/>
      <c r="E42" s="23"/>
      <c r="F42" s="9"/>
    </row>
    <row r="43" spans="1:6" x14ac:dyDescent="0.25">
      <c r="A43" s="818">
        <f>A41+1</f>
        <v>21</v>
      </c>
      <c r="B43" s="23" t="s">
        <v>592</v>
      </c>
      <c r="C43" s="23"/>
      <c r="D43" s="23"/>
      <c r="E43" s="838">
        <f>ROUND((E29+E30+E33-E15-E16-E19)/(E15+E16+E19),4)</f>
        <v>0.20319999999999999</v>
      </c>
      <c r="F43" s="9"/>
    </row>
    <row r="44" spans="1:6" x14ac:dyDescent="0.25">
      <c r="A44" s="818"/>
      <c r="B44" s="23"/>
      <c r="C44" s="23"/>
      <c r="D44" s="23"/>
      <c r="E44" s="838"/>
      <c r="F44" s="9"/>
    </row>
    <row r="45" spans="1:6" x14ac:dyDescent="0.25">
      <c r="A45" s="818"/>
      <c r="B45" s="23"/>
      <c r="C45" s="23"/>
      <c r="D45" s="23"/>
      <c r="E45" s="838"/>
      <c r="F45" s="9"/>
    </row>
    <row r="47" spans="1:6" x14ac:dyDescent="0.25">
      <c r="A47" s="40" t="s">
        <v>606</v>
      </c>
    </row>
    <row r="48" spans="1:6" x14ac:dyDescent="0.25">
      <c r="F48" s="808" t="s">
        <v>582</v>
      </c>
    </row>
    <row r="49" spans="1:6" x14ac:dyDescent="0.25">
      <c r="F49" s="808" t="s">
        <v>450</v>
      </c>
    </row>
    <row r="50" spans="1:6" x14ac:dyDescent="0.25">
      <c r="F50" s="808" t="s">
        <v>608</v>
      </c>
    </row>
    <row r="51" spans="1:6" x14ac:dyDescent="0.25">
      <c r="F51" s="808" t="s">
        <v>623</v>
      </c>
    </row>
    <row r="52" spans="1:6" x14ac:dyDescent="0.25">
      <c r="A52" s="975" t="s">
        <v>36</v>
      </c>
      <c r="B52" s="975"/>
      <c r="C52" s="975"/>
      <c r="D52" s="975"/>
      <c r="E52" s="975"/>
      <c r="F52" s="975"/>
    </row>
    <row r="53" spans="1:6" x14ac:dyDescent="0.25">
      <c r="A53" s="975" t="s">
        <v>619</v>
      </c>
      <c r="B53" s="975"/>
      <c r="C53" s="975"/>
      <c r="D53" s="975"/>
      <c r="E53" s="975"/>
      <c r="F53" s="975"/>
    </row>
    <row r="54" spans="1:6" x14ac:dyDescent="0.25">
      <c r="A54" s="1000" t="s">
        <v>585</v>
      </c>
      <c r="B54" s="1001"/>
      <c r="C54" s="1001"/>
      <c r="D54" s="1001"/>
      <c r="E54" s="1001"/>
      <c r="F54" s="1001"/>
    </row>
    <row r="55" spans="1:6" x14ac:dyDescent="0.25">
      <c r="A55" s="9"/>
      <c r="B55" s="9"/>
      <c r="C55" s="818"/>
      <c r="D55" s="818"/>
      <c r="E55" s="818"/>
      <c r="F55" s="818"/>
    </row>
    <row r="56" spans="1:6" x14ac:dyDescent="0.25">
      <c r="A56" s="806" t="s">
        <v>1</v>
      </c>
      <c r="B56" s="23"/>
      <c r="C56" s="806"/>
      <c r="D56" s="806" t="s">
        <v>0</v>
      </c>
      <c r="E56" s="806" t="s">
        <v>607</v>
      </c>
      <c r="F56" s="806"/>
    </row>
    <row r="57" spans="1:6" x14ac:dyDescent="0.25">
      <c r="A57" s="3" t="s">
        <v>3</v>
      </c>
      <c r="B57" s="10" t="s">
        <v>586</v>
      </c>
      <c r="C57" s="3" t="s">
        <v>587</v>
      </c>
      <c r="D57" s="3" t="s">
        <v>609</v>
      </c>
      <c r="E57" s="3" t="s">
        <v>183</v>
      </c>
      <c r="F57" s="3"/>
    </row>
    <row r="58" spans="1:6" x14ac:dyDescent="0.25">
      <c r="A58" s="9"/>
      <c r="B58" s="9"/>
      <c r="C58" s="806" t="s">
        <v>22</v>
      </c>
      <c r="D58" s="806" t="s">
        <v>24</v>
      </c>
      <c r="E58" s="806" t="s">
        <v>24</v>
      </c>
      <c r="F58" s="806"/>
    </row>
    <row r="59" spans="1:6" x14ac:dyDescent="0.25">
      <c r="A59" s="9"/>
      <c r="B59" s="9"/>
      <c r="C59" s="806"/>
      <c r="D59" s="806"/>
      <c r="E59" s="806"/>
      <c r="F59" s="806"/>
    </row>
    <row r="60" spans="1:6" x14ac:dyDescent="0.25">
      <c r="A60" s="818">
        <v>1</v>
      </c>
      <c r="B60" s="23" t="s">
        <v>588</v>
      </c>
      <c r="C60" s="806"/>
      <c r="D60" s="806"/>
      <c r="E60" s="806"/>
      <c r="F60" s="806"/>
    </row>
    <row r="61" spans="1:6" x14ac:dyDescent="0.25">
      <c r="A61" s="9"/>
      <c r="B61" s="9"/>
      <c r="C61" s="9"/>
      <c r="D61" s="9"/>
      <c r="E61" s="9"/>
      <c r="F61" s="9"/>
    </row>
    <row r="62" spans="1:6" x14ac:dyDescent="0.25">
      <c r="A62" s="818">
        <f>A60+1</f>
        <v>2</v>
      </c>
      <c r="B62" s="9" t="s">
        <v>589</v>
      </c>
      <c r="C62" s="9"/>
      <c r="D62" s="821"/>
      <c r="E62" s="822">
        <f>Input!H30</f>
        <v>37.5</v>
      </c>
      <c r="F62" s="823"/>
    </row>
    <row r="63" spans="1:6" x14ac:dyDescent="0.25">
      <c r="A63" s="818">
        <f>A62+1</f>
        <v>3</v>
      </c>
      <c r="B63" s="9" t="s">
        <v>601</v>
      </c>
      <c r="C63" s="9"/>
      <c r="D63" s="824"/>
      <c r="E63" s="822">
        <f>Input!J30</f>
        <v>8.02</v>
      </c>
      <c r="F63" s="823"/>
    </row>
    <row r="64" spans="1:6" x14ac:dyDescent="0.25">
      <c r="A64" s="818"/>
      <c r="B64" s="9"/>
      <c r="C64" s="9"/>
      <c r="D64" s="825"/>
      <c r="E64" s="822"/>
      <c r="F64" s="823"/>
    </row>
    <row r="65" spans="1:6" x14ac:dyDescent="0.25">
      <c r="A65" s="818">
        <f>A63+1</f>
        <v>4</v>
      </c>
      <c r="B65" s="9" t="s">
        <v>548</v>
      </c>
      <c r="C65" s="820">
        <f>ROUND(('C'!P96+'C'!P129+'C'!P207+'C'!P240)/(B!P167+B!P173+B!P78+B!P84+B!P79+B!P85),1)</f>
        <v>32.4</v>
      </c>
      <c r="D65" s="826">
        <f>Input!C30</f>
        <v>2.2665999999999999</v>
      </c>
      <c r="E65" s="822">
        <f>ROUND(C65*D65,2)</f>
        <v>73.44</v>
      </c>
      <c r="F65" s="819"/>
    </row>
    <row r="66" spans="1:6" x14ac:dyDescent="0.25">
      <c r="A66" s="818">
        <f>A65+1</f>
        <v>5</v>
      </c>
      <c r="B66" s="9" t="s">
        <v>549</v>
      </c>
      <c r="C66" s="839">
        <v>0</v>
      </c>
      <c r="D66" s="826">
        <f>Input!D30</f>
        <v>1.752</v>
      </c>
      <c r="E66" s="822">
        <f t="shared" ref="E66:E68" si="8">ROUND(C66*D66,2)</f>
        <v>0</v>
      </c>
      <c r="F66" s="819"/>
    </row>
    <row r="67" spans="1:6" x14ac:dyDescent="0.25">
      <c r="A67" s="818">
        <f>A66+1</f>
        <v>6</v>
      </c>
      <c r="B67" s="9" t="s">
        <v>550</v>
      </c>
      <c r="C67" s="839">
        <v>0</v>
      </c>
      <c r="D67" s="826">
        <f>Input!E30</f>
        <v>1.6658999999999999</v>
      </c>
      <c r="E67" s="822">
        <f t="shared" si="8"/>
        <v>0</v>
      </c>
      <c r="F67" s="819"/>
    </row>
    <row r="68" spans="1:6" x14ac:dyDescent="0.25">
      <c r="A68" s="818">
        <f>A67+1</f>
        <v>7</v>
      </c>
      <c r="B68" s="9" t="s">
        <v>551</v>
      </c>
      <c r="C68" s="839">
        <v>0</v>
      </c>
      <c r="D68" s="826">
        <f>Input!F30</f>
        <v>1.5164</v>
      </c>
      <c r="E68" s="822">
        <f t="shared" si="8"/>
        <v>0</v>
      </c>
      <c r="F68" s="819"/>
    </row>
    <row r="69" spans="1:6" x14ac:dyDescent="0.25">
      <c r="A69" s="818">
        <f t="shared" ref="A69:A72" si="9">A68+1</f>
        <v>8</v>
      </c>
      <c r="B69" s="9" t="s">
        <v>602</v>
      </c>
      <c r="C69" s="820">
        <f>SUM(C65:C68)</f>
        <v>32.4</v>
      </c>
      <c r="D69" s="826">
        <f>Input!M30</f>
        <v>1.3899999999999999E-2</v>
      </c>
      <c r="E69" s="822">
        <f t="shared" ref="E69:E72" si="10">ROUND(C69*D69,2)</f>
        <v>0.45</v>
      </c>
      <c r="F69" s="819"/>
    </row>
    <row r="70" spans="1:6" x14ac:dyDescent="0.25">
      <c r="A70" s="818">
        <f t="shared" si="9"/>
        <v>9</v>
      </c>
      <c r="B70" s="9" t="s">
        <v>604</v>
      </c>
      <c r="C70" s="820">
        <f>C69</f>
        <v>32.4</v>
      </c>
      <c r="D70" s="826">
        <f>Input!L30</f>
        <v>0</v>
      </c>
      <c r="E70" s="822">
        <f t="shared" si="10"/>
        <v>0</v>
      </c>
      <c r="F70" s="819"/>
    </row>
    <row r="71" spans="1:6" x14ac:dyDescent="0.25">
      <c r="A71" s="818">
        <f t="shared" si="9"/>
        <v>10</v>
      </c>
      <c r="B71" s="9" t="s">
        <v>605</v>
      </c>
      <c r="C71" s="820">
        <f>C69</f>
        <v>32.4</v>
      </c>
      <c r="D71" s="826">
        <f>EGC</f>
        <v>2.2090999999999998</v>
      </c>
      <c r="E71" s="822">
        <f t="shared" si="10"/>
        <v>71.569999999999993</v>
      </c>
      <c r="F71" s="819"/>
    </row>
    <row r="72" spans="1:6" ht="15" x14ac:dyDescent="0.4">
      <c r="A72" s="818">
        <f t="shared" si="9"/>
        <v>11</v>
      </c>
      <c r="B72" s="9" t="s">
        <v>530</v>
      </c>
      <c r="C72" s="820">
        <f>C69</f>
        <v>32.4</v>
      </c>
      <c r="D72" s="826">
        <f>Input!N30</f>
        <v>1.6E-2</v>
      </c>
      <c r="E72" s="827">
        <f t="shared" si="10"/>
        <v>0.52</v>
      </c>
      <c r="F72" s="840"/>
    </row>
    <row r="73" spans="1:6" x14ac:dyDescent="0.25">
      <c r="A73" s="818"/>
      <c r="B73" s="9"/>
      <c r="C73" s="820"/>
      <c r="D73" s="826"/>
      <c r="E73" s="828"/>
      <c r="F73" s="9"/>
    </row>
    <row r="74" spans="1:6" ht="13.8" thickBot="1" x14ac:dyDescent="0.3">
      <c r="A74" s="818">
        <f>A72+1</f>
        <v>12</v>
      </c>
      <c r="B74" s="9" t="s">
        <v>590</v>
      </c>
      <c r="C74" s="820">
        <f>C72</f>
        <v>32.4</v>
      </c>
      <c r="D74" s="25"/>
      <c r="E74" s="829">
        <f>SUM(E62:E72)</f>
        <v>191.5</v>
      </c>
      <c r="F74" s="9"/>
    </row>
    <row r="75" spans="1:6" ht="13.8" thickTop="1" x14ac:dyDescent="0.25">
      <c r="A75" s="9"/>
      <c r="B75" s="9"/>
      <c r="C75" s="9"/>
      <c r="D75" s="25"/>
      <c r="E75" s="819"/>
      <c r="F75" s="9"/>
    </row>
    <row r="76" spans="1:6" x14ac:dyDescent="0.25">
      <c r="A76" s="818">
        <f>A74+1</f>
        <v>13</v>
      </c>
      <c r="B76" s="23" t="s">
        <v>135</v>
      </c>
      <c r="C76" s="806"/>
      <c r="D76" s="831"/>
      <c r="E76" s="832"/>
      <c r="F76" s="9"/>
    </row>
    <row r="77" spans="1:6" x14ac:dyDescent="0.25">
      <c r="A77" s="9"/>
      <c r="B77" s="9"/>
      <c r="C77" s="9"/>
      <c r="D77" s="25"/>
      <c r="E77" s="819"/>
      <c r="F77" s="9"/>
    </row>
    <row r="78" spans="1:6" x14ac:dyDescent="0.25">
      <c r="A78" s="818">
        <f>A76+1</f>
        <v>14</v>
      </c>
      <c r="B78" s="9" t="s">
        <v>589</v>
      </c>
      <c r="C78" s="9"/>
      <c r="D78" s="821"/>
      <c r="E78" s="822">
        <f>Input!U30</f>
        <v>44.69</v>
      </c>
      <c r="F78" s="819"/>
    </row>
    <row r="79" spans="1:6" x14ac:dyDescent="0.25">
      <c r="A79" s="818">
        <f>A78+1</f>
        <v>15</v>
      </c>
      <c r="B79" s="9" t="s">
        <v>601</v>
      </c>
      <c r="C79" s="9"/>
      <c r="D79" s="824"/>
      <c r="E79" s="822">
        <f>Input!W30</f>
        <v>0</v>
      </c>
      <c r="F79" s="819"/>
    </row>
    <row r="80" spans="1:6" x14ac:dyDescent="0.25">
      <c r="A80" s="818"/>
      <c r="B80" s="9"/>
      <c r="C80" s="9"/>
      <c r="D80" s="825"/>
      <c r="E80" s="822"/>
      <c r="F80" s="9"/>
    </row>
    <row r="81" spans="1:6" x14ac:dyDescent="0.25">
      <c r="A81" s="818">
        <f>A79+1</f>
        <v>16</v>
      </c>
      <c r="B81" s="9" t="s">
        <v>548</v>
      </c>
      <c r="C81" s="820">
        <f>C74</f>
        <v>32.4</v>
      </c>
      <c r="D81" s="826">
        <f>Input!P30</f>
        <v>3.0331999999999999</v>
      </c>
      <c r="E81" s="822">
        <f t="shared" ref="E81:E88" si="11">ROUND(C81*D81,2)</f>
        <v>98.28</v>
      </c>
      <c r="F81" s="819"/>
    </row>
    <row r="82" spans="1:6" x14ac:dyDescent="0.25">
      <c r="A82" s="818">
        <f>A81+1</f>
        <v>17</v>
      </c>
      <c r="B82" s="9" t="s">
        <v>549</v>
      </c>
      <c r="C82" s="839">
        <v>0</v>
      </c>
      <c r="D82" s="826">
        <f>Input!Q30</f>
        <v>2.3445999999999998</v>
      </c>
      <c r="E82" s="822">
        <f t="shared" si="11"/>
        <v>0</v>
      </c>
      <c r="F82" s="819"/>
    </row>
    <row r="83" spans="1:6" x14ac:dyDescent="0.25">
      <c r="A83" s="818">
        <f t="shared" ref="A83:A88" si="12">A82+1</f>
        <v>18</v>
      </c>
      <c r="B83" s="9" t="s">
        <v>550</v>
      </c>
      <c r="C83" s="839">
        <v>0</v>
      </c>
      <c r="D83" s="826">
        <f>Input!R30</f>
        <v>2.2294</v>
      </c>
      <c r="E83" s="822">
        <f t="shared" si="11"/>
        <v>0</v>
      </c>
      <c r="F83" s="819"/>
    </row>
    <row r="84" spans="1:6" x14ac:dyDescent="0.25">
      <c r="A84" s="818">
        <f t="shared" si="12"/>
        <v>19</v>
      </c>
      <c r="B84" s="9" t="s">
        <v>551</v>
      </c>
      <c r="C84" s="839">
        <v>0</v>
      </c>
      <c r="D84" s="826">
        <f>Input!S30</f>
        <v>2.0294000000000003</v>
      </c>
      <c r="E84" s="822">
        <f t="shared" si="11"/>
        <v>0</v>
      </c>
      <c r="F84" s="819"/>
    </row>
    <row r="85" spans="1:6" x14ac:dyDescent="0.25">
      <c r="A85" s="818">
        <f t="shared" si="12"/>
        <v>20</v>
      </c>
      <c r="B85" s="9" t="s">
        <v>602</v>
      </c>
      <c r="C85" s="820">
        <f>C81</f>
        <v>32.4</v>
      </c>
      <c r="D85" s="826">
        <f>Input!Z30</f>
        <v>1.3899999999999999E-2</v>
      </c>
      <c r="E85" s="822">
        <f t="shared" si="11"/>
        <v>0.45</v>
      </c>
      <c r="F85" s="819"/>
    </row>
    <row r="86" spans="1:6" x14ac:dyDescent="0.25">
      <c r="A86" s="818">
        <f t="shared" si="12"/>
        <v>21</v>
      </c>
      <c r="B86" s="9" t="s">
        <v>604</v>
      </c>
      <c r="C86" s="820">
        <f>C85</f>
        <v>32.4</v>
      </c>
      <c r="D86" s="826">
        <f>Input!Y30</f>
        <v>0</v>
      </c>
      <c r="E86" s="822">
        <f t="shared" si="11"/>
        <v>0</v>
      </c>
      <c r="F86" s="819"/>
    </row>
    <row r="87" spans="1:6" x14ac:dyDescent="0.25">
      <c r="A87" s="818">
        <f t="shared" si="12"/>
        <v>22</v>
      </c>
      <c r="B87" s="9" t="s">
        <v>605</v>
      </c>
      <c r="C87" s="820">
        <f t="shared" ref="C87:C88" si="13">C86</f>
        <v>32.4</v>
      </c>
      <c r="D87" s="826">
        <f>D71</f>
        <v>2.2090999999999998</v>
      </c>
      <c r="E87" s="822">
        <f t="shared" si="11"/>
        <v>71.569999999999993</v>
      </c>
      <c r="F87" s="819"/>
    </row>
    <row r="88" spans="1:6" x14ac:dyDescent="0.25">
      <c r="A88" s="818">
        <f t="shared" si="12"/>
        <v>23</v>
      </c>
      <c r="B88" s="9" t="s">
        <v>530</v>
      </c>
      <c r="C88" s="820">
        <f t="shared" si="13"/>
        <v>32.4</v>
      </c>
      <c r="D88" s="826">
        <f>Input!AA30</f>
        <v>2.5999999999999999E-2</v>
      </c>
      <c r="E88" s="822">
        <f t="shared" si="11"/>
        <v>0.84</v>
      </c>
      <c r="F88" s="819"/>
    </row>
    <row r="89" spans="1:6" x14ac:dyDescent="0.25">
      <c r="A89" s="818"/>
      <c r="B89" s="9"/>
      <c r="C89" s="820"/>
      <c r="D89" s="826"/>
      <c r="E89" s="833"/>
      <c r="F89" s="819"/>
    </row>
    <row r="90" spans="1:6" ht="13.8" thickBot="1" x14ac:dyDescent="0.3">
      <c r="A90" s="818">
        <f>A88+1</f>
        <v>24</v>
      </c>
      <c r="B90" s="9" t="s">
        <v>590</v>
      </c>
      <c r="C90" s="820">
        <f>C88</f>
        <v>32.4</v>
      </c>
      <c r="D90" s="25"/>
      <c r="E90" s="834">
        <f>SUM(E78:E88)</f>
        <v>215.82999999999998</v>
      </c>
      <c r="F90" s="819"/>
    </row>
    <row r="91" spans="1:6" ht="14.4" thickTop="1" thickBot="1" x14ac:dyDescent="0.3">
      <c r="A91" s="9"/>
      <c r="B91" s="9"/>
      <c r="C91" s="9"/>
      <c r="D91" s="9"/>
      <c r="E91" s="9"/>
      <c r="F91" s="819"/>
    </row>
    <row r="92" spans="1:6" ht="13.8" thickBot="1" x14ac:dyDescent="0.3">
      <c r="A92" s="818">
        <f>A90+1</f>
        <v>25</v>
      </c>
      <c r="B92" s="835" t="s">
        <v>591</v>
      </c>
      <c r="C92" s="836"/>
      <c r="D92" s="836"/>
      <c r="E92" s="837">
        <f>ROUND((E90-E74)/E74,4)</f>
        <v>0.127</v>
      </c>
      <c r="F92" s="819"/>
    </row>
    <row r="93" spans="1:6" x14ac:dyDescent="0.25">
      <c r="A93" s="818"/>
      <c r="B93" s="23"/>
      <c r="C93" s="23"/>
      <c r="D93" s="23"/>
      <c r="E93" s="23"/>
      <c r="F93" s="819"/>
    </row>
    <row r="94" spans="1:6" x14ac:dyDescent="0.25">
      <c r="A94" s="818">
        <f>A92+1</f>
        <v>26</v>
      </c>
      <c r="B94" s="23" t="s">
        <v>592</v>
      </c>
      <c r="C94" s="23"/>
      <c r="D94" s="23"/>
      <c r="E94" s="838">
        <f>ROUND((E78+E79+E81+E82+E83+E84-E62-E63-E65-E66-E67-E68)/(E62+E63+E65+E66+E67+E68),4)</f>
        <v>0.20180000000000001</v>
      </c>
      <c r="F94" s="838"/>
    </row>
    <row r="95" spans="1:6" x14ac:dyDescent="0.25">
      <c r="A95" s="818"/>
      <c r="B95" s="23"/>
      <c r="C95" s="23"/>
      <c r="D95" s="23"/>
      <c r="E95" s="838"/>
      <c r="F95" s="9"/>
    </row>
    <row r="96" spans="1:6" x14ac:dyDescent="0.25">
      <c r="A96" s="40" t="s">
        <v>610</v>
      </c>
    </row>
    <row r="97" spans="1:6" x14ac:dyDescent="0.25">
      <c r="F97" s="808" t="s">
        <v>582</v>
      </c>
    </row>
    <row r="98" spans="1:6" x14ac:dyDescent="0.25">
      <c r="F98" s="808" t="s">
        <v>450</v>
      </c>
    </row>
    <row r="99" spans="1:6" x14ac:dyDescent="0.25">
      <c r="F99" s="808" t="s">
        <v>608</v>
      </c>
    </row>
    <row r="100" spans="1:6" x14ac:dyDescent="0.25">
      <c r="F100" s="808" t="s">
        <v>620</v>
      </c>
    </row>
    <row r="101" spans="1:6" x14ac:dyDescent="0.25">
      <c r="A101" s="975" t="s">
        <v>36</v>
      </c>
      <c r="B101" s="975"/>
      <c r="C101" s="975"/>
      <c r="D101" s="975"/>
      <c r="E101" s="975"/>
      <c r="F101" s="975"/>
    </row>
    <row r="102" spans="1:6" x14ac:dyDescent="0.25">
      <c r="A102" s="975" t="s">
        <v>621</v>
      </c>
      <c r="B102" s="975"/>
      <c r="C102" s="975"/>
      <c r="D102" s="975"/>
      <c r="E102" s="975"/>
      <c r="F102" s="975"/>
    </row>
    <row r="103" spans="1:6" x14ac:dyDescent="0.25">
      <c r="A103" s="1000" t="s">
        <v>585</v>
      </c>
      <c r="B103" s="1001"/>
      <c r="C103" s="1001"/>
      <c r="D103" s="1001"/>
      <c r="E103" s="1001"/>
      <c r="F103" s="1001"/>
    </row>
    <row r="104" spans="1:6" x14ac:dyDescent="0.25">
      <c r="A104" s="9"/>
      <c r="B104" s="9"/>
      <c r="C104" s="818"/>
      <c r="D104" s="818"/>
      <c r="E104" s="818"/>
      <c r="F104" s="818"/>
    </row>
    <row r="105" spans="1:6" x14ac:dyDescent="0.25">
      <c r="A105" s="844" t="s">
        <v>1</v>
      </c>
      <c r="B105" s="23"/>
      <c r="C105" s="844"/>
      <c r="D105" s="844" t="s">
        <v>0</v>
      </c>
      <c r="E105" s="844" t="s">
        <v>164</v>
      </c>
      <c r="F105" s="844"/>
    </row>
    <row r="106" spans="1:6" x14ac:dyDescent="0.25">
      <c r="A106" s="3" t="s">
        <v>3</v>
      </c>
      <c r="B106" s="10" t="s">
        <v>586</v>
      </c>
      <c r="C106" s="3" t="s">
        <v>587</v>
      </c>
      <c r="D106" s="3" t="s">
        <v>609</v>
      </c>
      <c r="E106" s="3" t="s">
        <v>183</v>
      </c>
      <c r="F106" s="3"/>
    </row>
    <row r="107" spans="1:6" x14ac:dyDescent="0.25">
      <c r="A107" s="9"/>
      <c r="B107" s="9"/>
      <c r="C107" s="844" t="s">
        <v>22</v>
      </c>
      <c r="D107" s="844" t="s">
        <v>24</v>
      </c>
      <c r="E107" s="844" t="s">
        <v>24</v>
      </c>
      <c r="F107" s="844"/>
    </row>
    <row r="108" spans="1:6" x14ac:dyDescent="0.25">
      <c r="A108" s="9"/>
      <c r="B108" s="9"/>
      <c r="C108" s="844"/>
      <c r="D108" s="844"/>
      <c r="E108" s="844"/>
      <c r="F108" s="844"/>
    </row>
    <row r="109" spans="1:6" x14ac:dyDescent="0.25">
      <c r="A109" s="818">
        <v>1</v>
      </c>
      <c r="B109" s="23" t="s">
        <v>588</v>
      </c>
      <c r="C109" s="844"/>
      <c r="D109" s="844"/>
      <c r="E109" s="844"/>
      <c r="F109" s="844"/>
    </row>
    <row r="110" spans="1:6" x14ac:dyDescent="0.25">
      <c r="A110" s="9"/>
      <c r="B110" s="9"/>
      <c r="C110" s="9"/>
      <c r="D110" s="9"/>
      <c r="E110" s="9"/>
      <c r="F110" s="9"/>
    </row>
    <row r="111" spans="1:6" x14ac:dyDescent="0.25">
      <c r="A111" s="818">
        <f>A109+1</f>
        <v>2</v>
      </c>
      <c r="B111" s="9" t="s">
        <v>589</v>
      </c>
      <c r="C111" s="9"/>
      <c r="D111" s="821"/>
      <c r="E111" s="822">
        <f>Input!H46</f>
        <v>37.5</v>
      </c>
      <c r="F111" s="823"/>
    </row>
    <row r="112" spans="1:6" x14ac:dyDescent="0.25">
      <c r="A112" s="818">
        <f>A111+1</f>
        <v>3</v>
      </c>
      <c r="B112" s="9" t="s">
        <v>601</v>
      </c>
      <c r="C112" s="9"/>
      <c r="D112" s="824"/>
      <c r="E112" s="822">
        <f>Input!J46</f>
        <v>8.02</v>
      </c>
      <c r="F112" s="823"/>
    </row>
    <row r="113" spans="1:6" x14ac:dyDescent="0.25">
      <c r="A113" s="818">
        <f>A112+1</f>
        <v>4</v>
      </c>
      <c r="B113" s="9" t="s">
        <v>526</v>
      </c>
      <c r="C113" s="9"/>
      <c r="D113" s="824"/>
      <c r="E113" s="822">
        <f>Input!I46</f>
        <v>55.9</v>
      </c>
      <c r="F113" s="822"/>
    </row>
    <row r="114" spans="1:6" x14ac:dyDescent="0.25">
      <c r="A114" s="818"/>
      <c r="B114" s="9"/>
      <c r="C114" s="9"/>
      <c r="D114" s="825"/>
      <c r="E114" s="822"/>
      <c r="F114" s="823"/>
    </row>
    <row r="115" spans="1:6" x14ac:dyDescent="0.25">
      <c r="A115" s="818">
        <f>A113+1</f>
        <v>5</v>
      </c>
      <c r="B115" s="9" t="s">
        <v>548</v>
      </c>
      <c r="C115" s="839">
        <v>50</v>
      </c>
      <c r="D115" s="826">
        <f>Input!C46</f>
        <v>2.2665999999999999</v>
      </c>
      <c r="E115" s="822">
        <f>ROUND(C115*D115,2)</f>
        <v>113.33</v>
      </c>
      <c r="F115" s="819"/>
    </row>
    <row r="116" spans="1:6" x14ac:dyDescent="0.25">
      <c r="A116" s="818">
        <f>A115+1</f>
        <v>6</v>
      </c>
      <c r="B116" s="9" t="s">
        <v>549</v>
      </c>
      <c r="C116" s="839">
        <v>350</v>
      </c>
      <c r="D116" s="826">
        <f>Input!D46</f>
        <v>1.752</v>
      </c>
      <c r="E116" s="822">
        <f t="shared" ref="E116:E122" si="14">ROUND(C116*D116,2)</f>
        <v>613.20000000000005</v>
      </c>
      <c r="F116" s="819"/>
    </row>
    <row r="117" spans="1:6" x14ac:dyDescent="0.25">
      <c r="A117" s="818">
        <f>A116+1</f>
        <v>7</v>
      </c>
      <c r="B117" s="9" t="s">
        <v>550</v>
      </c>
      <c r="C117" s="839">
        <v>600</v>
      </c>
      <c r="D117" s="826">
        <f>Input!E46</f>
        <v>1.6658999999999999</v>
      </c>
      <c r="E117" s="822">
        <f t="shared" si="14"/>
        <v>999.54</v>
      </c>
      <c r="F117" s="819"/>
    </row>
    <row r="118" spans="1:6" x14ac:dyDescent="0.25">
      <c r="A118" s="818">
        <f>A117+1</f>
        <v>8</v>
      </c>
      <c r="B118" s="9" t="s">
        <v>551</v>
      </c>
      <c r="C118" s="839">
        <f>C119-SUM(C115:C117)</f>
        <v>101.79999999999995</v>
      </c>
      <c r="D118" s="826">
        <f>Input!F46</f>
        <v>1.5164</v>
      </c>
      <c r="E118" s="822">
        <f t="shared" si="14"/>
        <v>154.37</v>
      </c>
      <c r="F118" s="819"/>
    </row>
    <row r="119" spans="1:6" x14ac:dyDescent="0.25">
      <c r="A119" s="818">
        <f>A115+1</f>
        <v>6</v>
      </c>
      <c r="B119" s="9" t="s">
        <v>602</v>
      </c>
      <c r="C119" s="820">
        <f>ROUND(('C'!$P$307+'C'!$P$327)/(B!$P$194+B!$P$200),1)</f>
        <v>1101.8</v>
      </c>
      <c r="D119" s="826">
        <f>Input!M46</f>
        <v>1.3899999999999999E-2</v>
      </c>
      <c r="E119" s="822">
        <f t="shared" si="14"/>
        <v>15.32</v>
      </c>
      <c r="F119" s="819"/>
    </row>
    <row r="120" spans="1:6" x14ac:dyDescent="0.25">
      <c r="A120" s="818">
        <f t="shared" ref="A120:A121" si="15">A116+1</f>
        <v>7</v>
      </c>
      <c r="B120" s="9" t="s">
        <v>604</v>
      </c>
      <c r="C120" s="820">
        <f>C119</f>
        <v>1101.8</v>
      </c>
      <c r="D120" s="826">
        <f>Input!L46</f>
        <v>0</v>
      </c>
      <c r="E120" s="822">
        <f t="shared" si="14"/>
        <v>0</v>
      </c>
      <c r="F120" s="819"/>
    </row>
    <row r="121" spans="1:6" x14ac:dyDescent="0.25">
      <c r="A121" s="818">
        <f t="shared" si="15"/>
        <v>8</v>
      </c>
      <c r="B121" s="9" t="s">
        <v>605</v>
      </c>
      <c r="C121" s="820">
        <f>C119</f>
        <v>1101.8</v>
      </c>
      <c r="D121" s="826">
        <f>EGC</f>
        <v>2.2090999999999998</v>
      </c>
      <c r="E121" s="822">
        <f t="shared" si="14"/>
        <v>2433.9899999999998</v>
      </c>
      <c r="F121" s="819"/>
    </row>
    <row r="122" spans="1:6" ht="15" x14ac:dyDescent="0.4">
      <c r="A122" s="818">
        <f t="shared" ref="A122" si="16">A121+1</f>
        <v>9</v>
      </c>
      <c r="B122" s="9" t="s">
        <v>530</v>
      </c>
      <c r="C122" s="820">
        <f>C119</f>
        <v>1101.8</v>
      </c>
      <c r="D122" s="826">
        <f>Input!N46</f>
        <v>0</v>
      </c>
      <c r="E122" s="827">
        <f t="shared" si="14"/>
        <v>0</v>
      </c>
      <c r="F122" s="819"/>
    </row>
    <row r="123" spans="1:6" x14ac:dyDescent="0.25">
      <c r="A123" s="818"/>
      <c r="B123" s="9"/>
      <c r="C123" s="820"/>
      <c r="D123" s="826"/>
      <c r="E123" s="828"/>
      <c r="F123" s="819"/>
    </row>
    <row r="124" spans="1:6" ht="13.8" thickBot="1" x14ac:dyDescent="0.3">
      <c r="A124" s="818">
        <f>A122+1</f>
        <v>10</v>
      </c>
      <c r="B124" s="9" t="s">
        <v>590</v>
      </c>
      <c r="C124" s="820">
        <f>C122</f>
        <v>1101.8</v>
      </c>
      <c r="D124" s="25"/>
      <c r="E124" s="829">
        <f>SUM(E111:E122)</f>
        <v>4431.17</v>
      </c>
      <c r="F124" s="819"/>
    </row>
    <row r="125" spans="1:6" ht="13.8" thickTop="1" x14ac:dyDescent="0.25">
      <c r="A125" s="9"/>
      <c r="B125" s="9"/>
      <c r="C125" s="9"/>
      <c r="D125" s="25"/>
      <c r="E125" s="819"/>
      <c r="F125" s="819"/>
    </row>
    <row r="126" spans="1:6" x14ac:dyDescent="0.25">
      <c r="A126" s="818">
        <f>A124+1</f>
        <v>11</v>
      </c>
      <c r="B126" s="23" t="s">
        <v>135</v>
      </c>
      <c r="C126" s="844"/>
      <c r="D126" s="831"/>
      <c r="E126" s="832"/>
      <c r="F126" s="819"/>
    </row>
    <row r="127" spans="1:6" x14ac:dyDescent="0.25">
      <c r="A127" s="9"/>
      <c r="B127" s="9"/>
      <c r="C127" s="9"/>
      <c r="D127" s="25"/>
      <c r="E127" s="819"/>
      <c r="F127" s="819"/>
    </row>
    <row r="128" spans="1:6" x14ac:dyDescent="0.25">
      <c r="A128" s="818">
        <f>A126+1</f>
        <v>12</v>
      </c>
      <c r="B128" s="9" t="s">
        <v>589</v>
      </c>
      <c r="C128" s="9"/>
      <c r="D128" s="821"/>
      <c r="E128" s="822">
        <f>Input!U46</f>
        <v>44.69</v>
      </c>
      <c r="F128" s="819"/>
    </row>
    <row r="129" spans="1:6" x14ac:dyDescent="0.25">
      <c r="A129" s="818">
        <f>A128+1</f>
        <v>13</v>
      </c>
      <c r="B129" s="9" t="s">
        <v>601</v>
      </c>
      <c r="C129" s="9"/>
      <c r="D129" s="824"/>
      <c r="E129" s="822">
        <f>Input!W46</f>
        <v>0</v>
      </c>
      <c r="F129" s="819"/>
    </row>
    <row r="130" spans="1:6" x14ac:dyDescent="0.25">
      <c r="A130" s="818">
        <f>A129+1</f>
        <v>14</v>
      </c>
      <c r="B130" s="9" t="s">
        <v>526</v>
      </c>
      <c r="C130" s="9"/>
      <c r="D130" s="824"/>
      <c r="E130" s="822">
        <f>Input!V44</f>
        <v>0</v>
      </c>
      <c r="F130" s="819"/>
    </row>
    <row r="131" spans="1:6" x14ac:dyDescent="0.25">
      <c r="A131" s="818"/>
      <c r="B131" s="9"/>
      <c r="C131" s="9"/>
      <c r="D131" s="825"/>
      <c r="E131" s="822"/>
      <c r="F131" s="819"/>
    </row>
    <row r="132" spans="1:6" x14ac:dyDescent="0.25">
      <c r="A132" s="818">
        <f>A130+1</f>
        <v>15</v>
      </c>
      <c r="B132" s="9" t="s">
        <v>548</v>
      </c>
      <c r="C132" s="839">
        <v>50</v>
      </c>
      <c r="D132" s="826">
        <f>Input!P46</f>
        <v>3.0331999999999999</v>
      </c>
      <c r="E132" s="822">
        <f t="shared" ref="E132:E139" si="17">ROUND(C132*D132,2)</f>
        <v>151.66</v>
      </c>
      <c r="F132" s="819"/>
    </row>
    <row r="133" spans="1:6" x14ac:dyDescent="0.25">
      <c r="A133" s="818">
        <f>A132+1</f>
        <v>16</v>
      </c>
      <c r="B133" s="9" t="s">
        <v>549</v>
      </c>
      <c r="C133" s="839">
        <v>350</v>
      </c>
      <c r="D133" s="826">
        <f>Input!Q46</f>
        <v>2.3445999999999998</v>
      </c>
      <c r="E133" s="822">
        <f t="shared" si="17"/>
        <v>820.61</v>
      </c>
      <c r="F133" s="819"/>
    </row>
    <row r="134" spans="1:6" x14ac:dyDescent="0.25">
      <c r="A134" s="818">
        <f t="shared" ref="A134:A139" si="18">A133+1</f>
        <v>17</v>
      </c>
      <c r="B134" s="9" t="s">
        <v>550</v>
      </c>
      <c r="C134" s="839">
        <v>600</v>
      </c>
      <c r="D134" s="826">
        <f>Input!R46</f>
        <v>2.2294</v>
      </c>
      <c r="E134" s="822">
        <f t="shared" si="17"/>
        <v>1337.64</v>
      </c>
      <c r="F134" s="819"/>
    </row>
    <row r="135" spans="1:6" x14ac:dyDescent="0.25">
      <c r="A135" s="818">
        <f t="shared" si="18"/>
        <v>18</v>
      </c>
      <c r="B135" s="9" t="s">
        <v>551</v>
      </c>
      <c r="C135" s="839">
        <f>C136-SUM(C132:C134)</f>
        <v>101.79999999999995</v>
      </c>
      <c r="D135" s="826">
        <f>Input!S46</f>
        <v>2.0294000000000003</v>
      </c>
      <c r="E135" s="822">
        <f t="shared" si="17"/>
        <v>206.59</v>
      </c>
      <c r="F135" s="819"/>
    </row>
    <row r="136" spans="1:6" x14ac:dyDescent="0.25">
      <c r="A136" s="818">
        <f t="shared" si="18"/>
        <v>19</v>
      </c>
      <c r="B136" s="9" t="s">
        <v>602</v>
      </c>
      <c r="C136" s="820">
        <f>ROUND(('C'!$P$307+'C'!$P$327)/(B!$P$194+B!$P$200),1)</f>
        <v>1101.8</v>
      </c>
      <c r="D136" s="826">
        <f>Input!Z46</f>
        <v>1.3899999999999999E-2</v>
      </c>
      <c r="E136" s="822">
        <f t="shared" si="17"/>
        <v>15.32</v>
      </c>
      <c r="F136" s="819"/>
    </row>
    <row r="137" spans="1:6" x14ac:dyDescent="0.25">
      <c r="A137" s="818">
        <f t="shared" si="18"/>
        <v>20</v>
      </c>
      <c r="B137" s="9" t="s">
        <v>604</v>
      </c>
      <c r="C137" s="820">
        <f>C136</f>
        <v>1101.8</v>
      </c>
      <c r="D137" s="826">
        <f>Input!Y46</f>
        <v>0</v>
      </c>
      <c r="E137" s="822">
        <f t="shared" si="17"/>
        <v>0</v>
      </c>
      <c r="F137" s="819"/>
    </row>
    <row r="138" spans="1:6" x14ac:dyDescent="0.25">
      <c r="A138" s="818">
        <f t="shared" si="18"/>
        <v>21</v>
      </c>
      <c r="B138" s="9" t="s">
        <v>605</v>
      </c>
      <c r="C138" s="820">
        <f t="shared" ref="C138:C139" si="19">C137</f>
        <v>1101.8</v>
      </c>
      <c r="D138" s="826">
        <f>D121</f>
        <v>2.2090999999999998</v>
      </c>
      <c r="E138" s="822">
        <f t="shared" si="17"/>
        <v>2433.9899999999998</v>
      </c>
      <c r="F138" s="819"/>
    </row>
    <row r="139" spans="1:6" x14ac:dyDescent="0.25">
      <c r="A139" s="818">
        <f t="shared" si="18"/>
        <v>22</v>
      </c>
      <c r="B139" s="9" t="s">
        <v>530</v>
      </c>
      <c r="C139" s="820">
        <f t="shared" si="19"/>
        <v>1101.8</v>
      </c>
      <c r="D139" s="826">
        <f>Input!AA46</f>
        <v>0</v>
      </c>
      <c r="E139" s="822">
        <f t="shared" si="17"/>
        <v>0</v>
      </c>
      <c r="F139" s="819"/>
    </row>
    <row r="140" spans="1:6" x14ac:dyDescent="0.25">
      <c r="A140" s="818"/>
      <c r="B140" s="9"/>
      <c r="C140" s="820"/>
      <c r="D140" s="826"/>
      <c r="E140" s="833"/>
      <c r="F140" s="819"/>
    </row>
    <row r="141" spans="1:6" ht="13.8" thickBot="1" x14ac:dyDescent="0.3">
      <c r="A141" s="818">
        <f>A139+1</f>
        <v>23</v>
      </c>
      <c r="B141" s="9" t="s">
        <v>590</v>
      </c>
      <c r="C141" s="820">
        <f>C139</f>
        <v>1101.8</v>
      </c>
      <c r="D141" s="25"/>
      <c r="E141" s="834">
        <f>SUM(E128:E139)</f>
        <v>5010.5</v>
      </c>
      <c r="F141" s="819"/>
    </row>
    <row r="142" spans="1:6" ht="14.4" thickTop="1" thickBot="1" x14ac:dyDescent="0.3">
      <c r="A142" s="9"/>
      <c r="B142" s="9"/>
      <c r="C142" s="9"/>
      <c r="D142" s="9"/>
      <c r="E142" s="9"/>
      <c r="F142" s="819"/>
    </row>
    <row r="143" spans="1:6" ht="13.8" thickBot="1" x14ac:dyDescent="0.3">
      <c r="A143" s="818">
        <f>A141+1</f>
        <v>24</v>
      </c>
      <c r="B143" s="835" t="s">
        <v>591</v>
      </c>
      <c r="C143" s="836"/>
      <c r="D143" s="836"/>
      <c r="E143" s="837">
        <f>ROUND((E141-E124)/E124,4)</f>
        <v>0.13070000000000001</v>
      </c>
      <c r="F143" s="819"/>
    </row>
    <row r="144" spans="1:6" x14ac:dyDescent="0.25">
      <c r="A144" s="818"/>
      <c r="B144" s="23"/>
      <c r="C144" s="23"/>
      <c r="D144" s="23"/>
      <c r="E144" s="23"/>
      <c r="F144" s="23"/>
    </row>
    <row r="145" spans="1:6" x14ac:dyDescent="0.25">
      <c r="A145" s="818">
        <f>A143+1</f>
        <v>25</v>
      </c>
      <c r="B145" s="23" t="s">
        <v>592</v>
      </c>
      <c r="C145" s="23"/>
      <c r="D145" s="23"/>
      <c r="E145" s="838">
        <f>ROUND((E128+E129+E132+E133+E134+E135-E111-E112-E115-E116-E117-E118)/(E111+E112+E113+E115+E116+E117+E118),4)</f>
        <v>0.32050000000000001</v>
      </c>
      <c r="F145" s="838"/>
    </row>
    <row r="146" spans="1:6" x14ac:dyDescent="0.25">
      <c r="A146" s="818"/>
      <c r="B146" s="23"/>
      <c r="C146" s="23"/>
      <c r="D146" s="23"/>
      <c r="E146" s="838"/>
      <c r="F146" s="9"/>
    </row>
    <row r="147" spans="1:6" x14ac:dyDescent="0.25">
      <c r="A147" s="40" t="s">
        <v>610</v>
      </c>
    </row>
    <row r="148" spans="1:6" x14ac:dyDescent="0.25">
      <c r="F148" s="808" t="s">
        <v>582</v>
      </c>
    </row>
    <row r="149" spans="1:6" x14ac:dyDescent="0.25">
      <c r="F149" s="808" t="s">
        <v>450</v>
      </c>
    </row>
    <row r="150" spans="1:6" x14ac:dyDescent="0.25">
      <c r="F150" s="808" t="s">
        <v>608</v>
      </c>
    </row>
    <row r="151" spans="1:6" x14ac:dyDescent="0.25">
      <c r="F151" s="808" t="s">
        <v>624</v>
      </c>
    </row>
    <row r="152" spans="1:6" x14ac:dyDescent="0.25">
      <c r="A152" s="975" t="s">
        <v>36</v>
      </c>
      <c r="B152" s="975"/>
      <c r="C152" s="975"/>
      <c r="D152" s="975"/>
      <c r="E152" s="975"/>
      <c r="F152" s="975"/>
    </row>
    <row r="153" spans="1:6" x14ac:dyDescent="0.25">
      <c r="A153" s="975" t="s">
        <v>611</v>
      </c>
      <c r="B153" s="975"/>
      <c r="C153" s="975"/>
      <c r="D153" s="975"/>
      <c r="E153" s="975"/>
      <c r="F153" s="975"/>
    </row>
    <row r="154" spans="1:6" x14ac:dyDescent="0.25">
      <c r="A154" s="1000" t="s">
        <v>585</v>
      </c>
      <c r="B154" s="1001"/>
      <c r="C154" s="1001"/>
      <c r="D154" s="1001"/>
      <c r="E154" s="1001"/>
      <c r="F154" s="1001"/>
    </row>
    <row r="155" spans="1:6" x14ac:dyDescent="0.25">
      <c r="A155" s="9"/>
      <c r="B155" s="9"/>
      <c r="C155" s="818"/>
      <c r="D155" s="818"/>
      <c r="E155" s="818"/>
      <c r="F155" s="818"/>
    </row>
    <row r="156" spans="1:6" x14ac:dyDescent="0.25">
      <c r="A156" s="806" t="s">
        <v>1</v>
      </c>
      <c r="B156" s="23"/>
      <c r="C156" s="806"/>
      <c r="D156" s="806" t="s">
        <v>0</v>
      </c>
      <c r="E156" s="806" t="s">
        <v>161</v>
      </c>
      <c r="F156" s="806"/>
    </row>
    <row r="157" spans="1:6" x14ac:dyDescent="0.25">
      <c r="A157" s="3" t="s">
        <v>3</v>
      </c>
      <c r="B157" s="10" t="s">
        <v>586</v>
      </c>
      <c r="C157" s="3" t="s">
        <v>587</v>
      </c>
      <c r="D157" s="3" t="s">
        <v>609</v>
      </c>
      <c r="E157" s="3" t="s">
        <v>183</v>
      </c>
      <c r="F157" s="806"/>
    </row>
    <row r="158" spans="1:6" x14ac:dyDescent="0.25">
      <c r="A158" s="9"/>
      <c r="B158" s="9"/>
      <c r="C158" s="806" t="s">
        <v>22</v>
      </c>
      <c r="D158" s="806" t="s">
        <v>24</v>
      </c>
      <c r="E158" s="806" t="s">
        <v>24</v>
      </c>
      <c r="F158" s="806"/>
    </row>
    <row r="159" spans="1:6" x14ac:dyDescent="0.25">
      <c r="A159" s="9"/>
      <c r="B159" s="9"/>
      <c r="C159" s="806"/>
      <c r="D159" s="806"/>
      <c r="E159" s="806"/>
      <c r="F159" s="806"/>
    </row>
    <row r="160" spans="1:6" x14ac:dyDescent="0.25">
      <c r="A160" s="818">
        <v>1</v>
      </c>
      <c r="B160" s="23" t="s">
        <v>588</v>
      </c>
      <c r="C160" s="806"/>
      <c r="D160" s="806"/>
      <c r="E160" s="806"/>
      <c r="F160" s="806"/>
    </row>
    <row r="161" spans="1:6" x14ac:dyDescent="0.25">
      <c r="A161" s="9"/>
      <c r="B161" s="9"/>
      <c r="C161" s="9"/>
      <c r="D161" s="9"/>
      <c r="E161" s="9"/>
      <c r="F161" s="9"/>
    </row>
    <row r="162" spans="1:6" x14ac:dyDescent="0.25">
      <c r="A162" s="818">
        <f>A160+1</f>
        <v>2</v>
      </c>
      <c r="B162" s="9" t="s">
        <v>589</v>
      </c>
      <c r="C162" s="9"/>
      <c r="D162" s="821"/>
      <c r="E162" s="822">
        <f>Input!H44</f>
        <v>1007.05</v>
      </c>
      <c r="F162" s="823"/>
    </row>
    <row r="163" spans="1:6" x14ac:dyDescent="0.25">
      <c r="A163" s="818">
        <f>A162+1</f>
        <v>3</v>
      </c>
      <c r="B163" s="9" t="s">
        <v>601</v>
      </c>
      <c r="C163" s="9"/>
      <c r="D163" s="824"/>
      <c r="E163" s="822">
        <f>Input!J44</f>
        <v>449.59</v>
      </c>
      <c r="F163" s="823"/>
    </row>
    <row r="164" spans="1:6" x14ac:dyDescent="0.25">
      <c r="A164" s="818"/>
      <c r="B164" s="9" t="s">
        <v>526</v>
      </c>
      <c r="C164" s="9"/>
      <c r="D164" s="824"/>
      <c r="E164" s="822">
        <f>Input!I44</f>
        <v>55.9</v>
      </c>
      <c r="F164" s="823"/>
    </row>
    <row r="165" spans="1:6" x14ac:dyDescent="0.25">
      <c r="A165" s="818"/>
      <c r="B165" s="9"/>
      <c r="C165" s="9"/>
      <c r="D165" s="825"/>
      <c r="E165" s="822"/>
      <c r="F165" s="823"/>
    </row>
    <row r="166" spans="1:6" x14ac:dyDescent="0.25">
      <c r="A166" s="818">
        <f>A163+1</f>
        <v>4</v>
      </c>
      <c r="B166" s="9" t="s">
        <v>487</v>
      </c>
      <c r="C166" s="820">
        <f>ROUND(('C'!P257+'C'!P274)/(B!P179+B!P180+B!P185+B!P186),1)</f>
        <v>7794.2</v>
      </c>
      <c r="D166" s="826">
        <f>Input!C44</f>
        <v>0.54430000000000001</v>
      </c>
      <c r="E166" s="822">
        <f>ROUND(C166*D166,2)</f>
        <v>4242.38</v>
      </c>
      <c r="F166" s="9"/>
    </row>
    <row r="167" spans="1:6" x14ac:dyDescent="0.25">
      <c r="A167" s="818">
        <f>A166+1</f>
        <v>5</v>
      </c>
      <c r="B167" s="9" t="s">
        <v>648</v>
      </c>
      <c r="C167" s="839">
        <v>0</v>
      </c>
      <c r="D167" s="826">
        <f>Input!D44</f>
        <v>0.28899999999999998</v>
      </c>
      <c r="E167" s="822">
        <f>ROUND(C167*D167,2)</f>
        <v>0</v>
      </c>
      <c r="F167" s="9"/>
    </row>
    <row r="168" spans="1:6" x14ac:dyDescent="0.25">
      <c r="A168" s="818">
        <f>A167+1</f>
        <v>6</v>
      </c>
      <c r="B168" s="9" t="s">
        <v>649</v>
      </c>
      <c r="C168" s="839">
        <v>0</v>
      </c>
      <c r="D168" s="826">
        <f>Input!E44</f>
        <v>0.28899999999999998</v>
      </c>
      <c r="E168" s="822">
        <f>ROUND(C168*D168,2)</f>
        <v>0</v>
      </c>
      <c r="F168" s="9"/>
    </row>
    <row r="169" spans="1:6" x14ac:dyDescent="0.25">
      <c r="A169" s="818">
        <f t="shared" ref="A169:A172" si="20">A168+1</f>
        <v>7</v>
      </c>
      <c r="B169" s="9" t="s">
        <v>602</v>
      </c>
      <c r="C169" s="820">
        <f>C166</f>
        <v>7794.2</v>
      </c>
      <c r="D169" s="826">
        <f>Input!M44</f>
        <v>1.3899999999999999E-2</v>
      </c>
      <c r="E169" s="822">
        <f t="shared" ref="E169:E172" si="21">ROUND(C169*D169,2)</f>
        <v>108.34</v>
      </c>
      <c r="F169" s="9"/>
    </row>
    <row r="170" spans="1:6" x14ac:dyDescent="0.25">
      <c r="A170" s="818">
        <f t="shared" si="20"/>
        <v>8</v>
      </c>
      <c r="B170" s="9" t="s">
        <v>604</v>
      </c>
      <c r="C170" s="820">
        <f>C169</f>
        <v>7794.2</v>
      </c>
      <c r="D170" s="826">
        <f>Input!L44</f>
        <v>0</v>
      </c>
      <c r="E170" s="822">
        <f t="shared" si="21"/>
        <v>0</v>
      </c>
      <c r="F170" s="9"/>
    </row>
    <row r="171" spans="1:6" x14ac:dyDescent="0.25">
      <c r="A171" s="818">
        <f t="shared" si="20"/>
        <v>9</v>
      </c>
      <c r="B171" s="9" t="s">
        <v>605</v>
      </c>
      <c r="C171" s="820">
        <f t="shared" ref="C171:C172" si="22">C170</f>
        <v>7794.2</v>
      </c>
      <c r="D171" s="826">
        <f>Commodity</f>
        <v>2.8155000000000001</v>
      </c>
      <c r="E171" s="822">
        <f t="shared" si="21"/>
        <v>21944.57</v>
      </c>
      <c r="F171" s="9"/>
    </row>
    <row r="172" spans="1:6" ht="15" x14ac:dyDescent="0.4">
      <c r="A172" s="818">
        <f t="shared" si="20"/>
        <v>10</v>
      </c>
      <c r="B172" s="9" t="s">
        <v>530</v>
      </c>
      <c r="C172" s="820">
        <f t="shared" si="22"/>
        <v>7794.2</v>
      </c>
      <c r="D172" s="826">
        <f>Input!N44</f>
        <v>0</v>
      </c>
      <c r="E172" s="827">
        <f t="shared" si="21"/>
        <v>0</v>
      </c>
      <c r="F172" s="9"/>
    </row>
    <row r="173" spans="1:6" x14ac:dyDescent="0.25">
      <c r="A173" s="818"/>
      <c r="B173" s="9"/>
      <c r="C173" s="820"/>
      <c r="D173" s="826"/>
      <c r="E173" s="828"/>
      <c r="F173" s="9"/>
    </row>
    <row r="174" spans="1:6" ht="13.8" thickBot="1" x14ac:dyDescent="0.3">
      <c r="A174" s="818">
        <f>A172+1</f>
        <v>11</v>
      </c>
      <c r="B174" s="9" t="s">
        <v>590</v>
      </c>
      <c r="C174" s="820">
        <f>C172</f>
        <v>7794.2</v>
      </c>
      <c r="D174" s="25"/>
      <c r="E174" s="829">
        <f>SUM(E162:E172)</f>
        <v>27807.83</v>
      </c>
      <c r="F174" s="830"/>
    </row>
    <row r="175" spans="1:6" ht="13.8" thickTop="1" x14ac:dyDescent="0.25">
      <c r="A175" s="9"/>
      <c r="B175" s="9"/>
      <c r="C175" s="9"/>
      <c r="D175" s="25"/>
      <c r="E175" s="819"/>
      <c r="F175" s="9"/>
    </row>
    <row r="176" spans="1:6" x14ac:dyDescent="0.25">
      <c r="A176" s="818">
        <f>A174+1</f>
        <v>12</v>
      </c>
      <c r="B176" s="23" t="s">
        <v>135</v>
      </c>
      <c r="C176" s="806"/>
      <c r="D176" s="831"/>
      <c r="E176" s="832"/>
      <c r="F176" s="9"/>
    </row>
    <row r="177" spans="1:6" x14ac:dyDescent="0.25">
      <c r="A177" s="9"/>
      <c r="B177" s="9"/>
      <c r="C177" s="9"/>
      <c r="D177" s="25"/>
      <c r="E177" s="819"/>
      <c r="F177" s="9"/>
    </row>
    <row r="178" spans="1:6" x14ac:dyDescent="0.25">
      <c r="A178" s="818">
        <f>A176+1</f>
        <v>13</v>
      </c>
      <c r="B178" s="9" t="s">
        <v>589</v>
      </c>
      <c r="C178" s="9"/>
      <c r="D178" s="821"/>
      <c r="E178" s="822">
        <f>Input!U44</f>
        <v>2007</v>
      </c>
      <c r="F178" s="9"/>
    </row>
    <row r="179" spans="1:6" x14ac:dyDescent="0.25">
      <c r="A179" s="818">
        <f>A178+1</f>
        <v>14</v>
      </c>
      <c r="B179" s="9" t="s">
        <v>601</v>
      </c>
      <c r="C179" s="9"/>
      <c r="D179" s="824"/>
      <c r="E179" s="822">
        <f>Input!W44</f>
        <v>0</v>
      </c>
      <c r="F179" s="9"/>
    </row>
    <row r="180" spans="1:6" x14ac:dyDescent="0.25">
      <c r="A180" s="818">
        <f t="shared" ref="A180:A188" si="23">A179+1</f>
        <v>15</v>
      </c>
      <c r="B180" s="9" t="s">
        <v>526</v>
      </c>
      <c r="C180" s="9"/>
      <c r="D180" s="824"/>
      <c r="E180" s="822">
        <f>Input!V44</f>
        <v>0</v>
      </c>
      <c r="F180" s="9"/>
    </row>
    <row r="181" spans="1:6" x14ac:dyDescent="0.25">
      <c r="A181" s="818">
        <f t="shared" si="23"/>
        <v>16</v>
      </c>
      <c r="B181" s="9"/>
      <c r="C181" s="9"/>
      <c r="D181" s="825"/>
      <c r="E181" s="822"/>
      <c r="F181" s="9"/>
    </row>
    <row r="182" spans="1:6" x14ac:dyDescent="0.25">
      <c r="A182" s="818">
        <f t="shared" si="23"/>
        <v>17</v>
      </c>
      <c r="B182" s="9" t="s">
        <v>487</v>
      </c>
      <c r="C182" s="820">
        <f>C174</f>
        <v>7794.2</v>
      </c>
      <c r="D182" s="826">
        <f>Input!P44</f>
        <v>0.6321</v>
      </c>
      <c r="E182" s="822">
        <f t="shared" ref="E182:E188" si="24">ROUND(C182*D182,2)</f>
        <v>4926.71</v>
      </c>
      <c r="F182" s="9"/>
    </row>
    <row r="183" spans="1:6" x14ac:dyDescent="0.25">
      <c r="A183" s="818">
        <f>A182+1</f>
        <v>18</v>
      </c>
      <c r="B183" s="9" t="s">
        <v>648</v>
      </c>
      <c r="C183" s="839">
        <v>0</v>
      </c>
      <c r="D183" s="826">
        <f>Input!Q44</f>
        <v>0.37730000000000002</v>
      </c>
      <c r="E183" s="822">
        <f>ROUND(C183*D183,2)</f>
        <v>0</v>
      </c>
      <c r="F183" s="9"/>
    </row>
    <row r="184" spans="1:6" x14ac:dyDescent="0.25">
      <c r="A184" s="818">
        <f t="shared" ref="A184:A185" si="25">A183+1</f>
        <v>19</v>
      </c>
      <c r="B184" s="9" t="s">
        <v>488</v>
      </c>
      <c r="C184" s="820">
        <f>C168</f>
        <v>0</v>
      </c>
      <c r="D184" s="826">
        <f>Input!R44</f>
        <v>0.32829999999999998</v>
      </c>
      <c r="E184" s="822">
        <f t="shared" si="24"/>
        <v>0</v>
      </c>
      <c r="F184" s="9"/>
    </row>
    <row r="185" spans="1:6" x14ac:dyDescent="0.25">
      <c r="A185" s="818">
        <f t="shared" si="25"/>
        <v>20</v>
      </c>
      <c r="B185" s="9" t="s">
        <v>602</v>
      </c>
      <c r="C185" s="820">
        <f>C182</f>
        <v>7794.2</v>
      </c>
      <c r="D185" s="826">
        <f>Input!Z44</f>
        <v>1.3899999999999999E-2</v>
      </c>
      <c r="E185" s="822">
        <f t="shared" si="24"/>
        <v>108.34</v>
      </c>
      <c r="F185" s="9"/>
    </row>
    <row r="186" spans="1:6" x14ac:dyDescent="0.25">
      <c r="A186" s="818">
        <f t="shared" si="23"/>
        <v>21</v>
      </c>
      <c r="B186" s="9" t="s">
        <v>604</v>
      </c>
      <c r="C186" s="820">
        <f>C185</f>
        <v>7794.2</v>
      </c>
      <c r="D186" s="826">
        <f>Input!Y44</f>
        <v>0</v>
      </c>
      <c r="E186" s="822">
        <f t="shared" si="24"/>
        <v>0</v>
      </c>
      <c r="F186" s="9"/>
    </row>
    <row r="187" spans="1:6" x14ac:dyDescent="0.25">
      <c r="A187" s="818">
        <f t="shared" si="23"/>
        <v>22</v>
      </c>
      <c r="B187" s="9" t="s">
        <v>605</v>
      </c>
      <c r="C187" s="820">
        <f t="shared" ref="C187:C188" si="26">C186</f>
        <v>7794.2</v>
      </c>
      <c r="D187" s="826">
        <f>D171</f>
        <v>2.8155000000000001</v>
      </c>
      <c r="E187" s="822">
        <f t="shared" si="24"/>
        <v>21944.57</v>
      </c>
      <c r="F187" s="9"/>
    </row>
    <row r="188" spans="1:6" x14ac:dyDescent="0.25">
      <c r="A188" s="818">
        <f t="shared" si="23"/>
        <v>23</v>
      </c>
      <c r="B188" s="9" t="s">
        <v>530</v>
      </c>
      <c r="C188" s="820">
        <f t="shared" si="26"/>
        <v>7794.2</v>
      </c>
      <c r="D188" s="826">
        <f>Input!AA44</f>
        <v>0</v>
      </c>
      <c r="E188" s="822">
        <f t="shared" si="24"/>
        <v>0</v>
      </c>
      <c r="F188" s="9"/>
    </row>
    <row r="189" spans="1:6" x14ac:dyDescent="0.25">
      <c r="A189" s="818"/>
      <c r="B189" s="9"/>
      <c r="C189" s="820"/>
      <c r="D189" s="826"/>
      <c r="E189" s="833"/>
      <c r="F189" s="9"/>
    </row>
    <row r="190" spans="1:6" ht="13.8" thickBot="1" x14ac:dyDescent="0.3">
      <c r="A190" s="818">
        <f>A188+1</f>
        <v>24</v>
      </c>
      <c r="B190" s="9" t="s">
        <v>590</v>
      </c>
      <c r="C190" s="820">
        <f>C188</f>
        <v>7794.2</v>
      </c>
      <c r="D190" s="25"/>
      <c r="E190" s="834">
        <f>SUM(E178:E188)</f>
        <v>28986.62</v>
      </c>
      <c r="F190" s="9"/>
    </row>
    <row r="191" spans="1:6" ht="14.4" thickTop="1" thickBot="1" x14ac:dyDescent="0.3">
      <c r="A191" s="9"/>
      <c r="B191" s="9"/>
      <c r="C191" s="9"/>
      <c r="D191" s="9"/>
      <c r="E191" s="9"/>
      <c r="F191" s="9"/>
    </row>
    <row r="192" spans="1:6" ht="13.8" thickBot="1" x14ac:dyDescent="0.3">
      <c r="A192" s="818">
        <f>A190+1</f>
        <v>25</v>
      </c>
      <c r="B192" s="835" t="s">
        <v>591</v>
      </c>
      <c r="C192" s="836"/>
      <c r="D192" s="836"/>
      <c r="E192" s="837">
        <f>ROUND((E190-E174)/E174,4)</f>
        <v>4.24E-2</v>
      </c>
      <c r="F192" s="9"/>
    </row>
    <row r="193" spans="1:6" x14ac:dyDescent="0.25">
      <c r="A193" s="818"/>
      <c r="B193" s="23"/>
      <c r="C193" s="23"/>
      <c r="D193" s="23"/>
      <c r="E193" s="23"/>
      <c r="F193" s="9"/>
    </row>
    <row r="194" spans="1:6" x14ac:dyDescent="0.25">
      <c r="A194" s="818">
        <f>A192+1</f>
        <v>26</v>
      </c>
      <c r="B194" s="23" t="s">
        <v>592</v>
      </c>
      <c r="C194" s="23"/>
      <c r="D194" s="23"/>
      <c r="E194" s="838">
        <f>ROUND((E178+E179+E180+E182+E184-E162-E163-E164-E166-E168)/(E162+E163+E164+E166+E168),4)</f>
        <v>0.20480000000000001</v>
      </c>
      <c r="F194" s="9"/>
    </row>
    <row r="195" spans="1:6" x14ac:dyDescent="0.25">
      <c r="A195" s="818"/>
      <c r="B195" s="23"/>
      <c r="C195" s="23"/>
      <c r="D195" s="23"/>
      <c r="E195" s="838"/>
      <c r="F195" s="9"/>
    </row>
    <row r="196" spans="1:6" x14ac:dyDescent="0.25">
      <c r="A196" s="818"/>
      <c r="B196" s="23"/>
      <c r="C196" s="23"/>
      <c r="D196" s="23"/>
      <c r="E196" s="838"/>
      <c r="F196" s="9"/>
    </row>
    <row r="198" spans="1:6" x14ac:dyDescent="0.25">
      <c r="A198" s="40" t="s">
        <v>612</v>
      </c>
    </row>
    <row r="199" spans="1:6" x14ac:dyDescent="0.25">
      <c r="F199" s="808" t="s">
        <v>582</v>
      </c>
    </row>
    <row r="200" spans="1:6" x14ac:dyDescent="0.25">
      <c r="F200" s="808" t="s">
        <v>450</v>
      </c>
    </row>
    <row r="201" spans="1:6" x14ac:dyDescent="0.25">
      <c r="F201" s="808" t="s">
        <v>608</v>
      </c>
    </row>
    <row r="202" spans="1:6" x14ac:dyDescent="0.25">
      <c r="F202" s="808" t="s">
        <v>625</v>
      </c>
    </row>
    <row r="203" spans="1:6" x14ac:dyDescent="0.25">
      <c r="A203" s="975" t="s">
        <v>36</v>
      </c>
      <c r="B203" s="975"/>
      <c r="C203" s="975"/>
      <c r="D203" s="975"/>
      <c r="E203" s="975"/>
      <c r="F203" s="975"/>
    </row>
    <row r="204" spans="1:6" x14ac:dyDescent="0.25">
      <c r="A204" s="975" t="s">
        <v>613</v>
      </c>
      <c r="B204" s="975"/>
      <c r="C204" s="975"/>
      <c r="D204" s="975"/>
      <c r="E204" s="975"/>
      <c r="F204" s="975"/>
    </row>
    <row r="205" spans="1:6" x14ac:dyDescent="0.25">
      <c r="A205" s="1000" t="s">
        <v>585</v>
      </c>
      <c r="B205" s="1001"/>
      <c r="C205" s="1001"/>
      <c r="D205" s="1001"/>
      <c r="E205" s="1001"/>
      <c r="F205" s="1001"/>
    </row>
    <row r="206" spans="1:6" x14ac:dyDescent="0.25">
      <c r="A206" s="9"/>
      <c r="B206" s="9"/>
      <c r="C206" s="818"/>
      <c r="D206" s="818"/>
      <c r="E206" s="818"/>
      <c r="F206" s="818"/>
    </row>
    <row r="207" spans="1:6" x14ac:dyDescent="0.25">
      <c r="A207" s="807" t="s">
        <v>1</v>
      </c>
      <c r="B207" s="23"/>
      <c r="C207" s="807"/>
      <c r="D207" s="807" t="s">
        <v>0</v>
      </c>
      <c r="E207" s="807" t="s">
        <v>532</v>
      </c>
      <c r="F207" s="807"/>
    </row>
    <row r="208" spans="1:6" x14ac:dyDescent="0.25">
      <c r="A208" s="3" t="s">
        <v>3</v>
      </c>
      <c r="B208" s="10" t="s">
        <v>586</v>
      </c>
      <c r="C208" s="3" t="s">
        <v>587</v>
      </c>
      <c r="D208" s="3" t="s">
        <v>609</v>
      </c>
      <c r="E208" s="3" t="s">
        <v>183</v>
      </c>
      <c r="F208" s="807"/>
    </row>
    <row r="209" spans="1:6" x14ac:dyDescent="0.25">
      <c r="A209" s="9"/>
      <c r="B209" s="9"/>
      <c r="C209" s="807" t="s">
        <v>22</v>
      </c>
      <c r="D209" s="807" t="s">
        <v>24</v>
      </c>
      <c r="E209" s="807" t="s">
        <v>24</v>
      </c>
      <c r="F209" s="807"/>
    </row>
    <row r="210" spans="1:6" x14ac:dyDescent="0.25">
      <c r="A210" s="9"/>
      <c r="B210" s="9"/>
      <c r="C210" s="807"/>
      <c r="D210" s="807"/>
      <c r="E210" s="807"/>
      <c r="F210" s="807"/>
    </row>
    <row r="211" spans="1:6" x14ac:dyDescent="0.25">
      <c r="A211" s="818">
        <v>1</v>
      </c>
      <c r="B211" s="23" t="s">
        <v>588</v>
      </c>
      <c r="C211" s="807"/>
      <c r="D211" s="807"/>
      <c r="E211" s="807"/>
      <c r="F211" s="807"/>
    </row>
    <row r="212" spans="1:6" x14ac:dyDescent="0.25">
      <c r="A212" s="9"/>
      <c r="B212" s="9"/>
      <c r="C212" s="9"/>
      <c r="D212" s="9"/>
      <c r="E212" s="9"/>
      <c r="F212" s="9"/>
    </row>
    <row r="213" spans="1:6" x14ac:dyDescent="0.25">
      <c r="A213" s="818">
        <f>A211+1</f>
        <v>2</v>
      </c>
      <c r="B213" s="9" t="s">
        <v>589</v>
      </c>
      <c r="C213" s="9"/>
      <c r="D213" s="821"/>
      <c r="E213" s="822">
        <f>Input!H48</f>
        <v>200</v>
      </c>
      <c r="F213" s="823"/>
    </row>
    <row r="214" spans="1:6" x14ac:dyDescent="0.25">
      <c r="A214" s="818">
        <f>A213+1</f>
        <v>3</v>
      </c>
      <c r="B214" s="9" t="s">
        <v>601</v>
      </c>
      <c r="C214" s="9"/>
      <c r="D214" s="824"/>
      <c r="E214" s="822">
        <f>Input!J48</f>
        <v>0</v>
      </c>
      <c r="F214" s="823"/>
    </row>
    <row r="215" spans="1:6" x14ac:dyDescent="0.25">
      <c r="A215" s="818">
        <f>A214+1</f>
        <v>4</v>
      </c>
      <c r="B215" s="9" t="s">
        <v>526</v>
      </c>
      <c r="C215" s="9"/>
      <c r="D215" s="824"/>
      <c r="E215" s="822">
        <f>Input!I48</f>
        <v>55.9</v>
      </c>
      <c r="F215" s="823"/>
    </row>
    <row r="216" spans="1:6" x14ac:dyDescent="0.25">
      <c r="A216" s="818"/>
      <c r="B216" s="9"/>
      <c r="C216" s="9"/>
      <c r="D216" s="825"/>
      <c r="E216" s="822"/>
      <c r="F216" s="823"/>
    </row>
    <row r="217" spans="1:6" x14ac:dyDescent="0.25">
      <c r="A217" s="818">
        <f>A215+1</f>
        <v>5</v>
      </c>
      <c r="B217" s="9" t="s">
        <v>110</v>
      </c>
      <c r="C217" s="820">
        <f>ROUND(('C'!P332)/(B!P219+B!P220),1)</f>
        <v>18916.099999999999</v>
      </c>
      <c r="D217" s="826">
        <f>Input!C48</f>
        <v>8.5800000000000001E-2</v>
      </c>
      <c r="E217" s="822">
        <f>ROUND(C217*D217,2)</f>
        <v>1623</v>
      </c>
      <c r="F217" s="9"/>
    </row>
    <row r="218" spans="1:6" x14ac:dyDescent="0.25">
      <c r="A218" s="818">
        <f>A217+1</f>
        <v>6</v>
      </c>
      <c r="B218" s="9" t="s">
        <v>602</v>
      </c>
      <c r="C218" s="820">
        <f>C217</f>
        <v>18916.099999999999</v>
      </c>
      <c r="D218" s="826">
        <f>Input!M48</f>
        <v>1.3899999999999999E-2</v>
      </c>
      <c r="E218" s="822">
        <f t="shared" ref="E218:E221" si="27">ROUND(C218*D218,2)</f>
        <v>262.93</v>
      </c>
      <c r="F218" s="9"/>
    </row>
    <row r="219" spans="1:6" x14ac:dyDescent="0.25">
      <c r="A219" s="818">
        <f t="shared" ref="A219:A220" si="28">A218+1</f>
        <v>7</v>
      </c>
      <c r="B219" s="9" t="s">
        <v>604</v>
      </c>
      <c r="C219" s="820">
        <f>C218</f>
        <v>18916.099999999999</v>
      </c>
      <c r="D219" s="826">
        <f>Input!L48</f>
        <v>0</v>
      </c>
      <c r="E219" s="822">
        <f t="shared" si="27"/>
        <v>0</v>
      </c>
      <c r="F219" s="9"/>
    </row>
    <row r="220" spans="1:6" x14ac:dyDescent="0.25">
      <c r="A220" s="818">
        <f t="shared" si="28"/>
        <v>8</v>
      </c>
      <c r="B220" s="9" t="s">
        <v>605</v>
      </c>
      <c r="C220" s="820">
        <f t="shared" ref="C220:C221" si="29">C219</f>
        <v>18916.099999999999</v>
      </c>
      <c r="D220" s="826">
        <f>Commodity</f>
        <v>2.8155000000000001</v>
      </c>
      <c r="E220" s="822">
        <f t="shared" si="27"/>
        <v>53258.28</v>
      </c>
      <c r="F220" s="9"/>
    </row>
    <row r="221" spans="1:6" ht="15" x14ac:dyDescent="0.4">
      <c r="A221" s="818">
        <f t="shared" ref="A221" si="30">A220+1</f>
        <v>9</v>
      </c>
      <c r="B221" s="9" t="s">
        <v>530</v>
      </c>
      <c r="C221" s="820">
        <f t="shared" si="29"/>
        <v>18916.099999999999</v>
      </c>
      <c r="D221" s="826">
        <f>Input!N48</f>
        <v>0</v>
      </c>
      <c r="E221" s="827">
        <f t="shared" si="27"/>
        <v>0</v>
      </c>
      <c r="F221" s="9"/>
    </row>
    <row r="222" spans="1:6" x14ac:dyDescent="0.25">
      <c r="A222" s="818"/>
      <c r="B222" s="9"/>
      <c r="C222" s="820"/>
      <c r="D222" s="826"/>
      <c r="E222" s="828"/>
      <c r="F222" s="9"/>
    </row>
    <row r="223" spans="1:6" ht="13.8" thickBot="1" x14ac:dyDescent="0.3">
      <c r="A223" s="818">
        <f>A221+1</f>
        <v>10</v>
      </c>
      <c r="B223" s="9" t="s">
        <v>590</v>
      </c>
      <c r="C223" s="820">
        <f>C221</f>
        <v>18916.099999999999</v>
      </c>
      <c r="D223" s="25"/>
      <c r="E223" s="829">
        <f>SUM(E213:E221)</f>
        <v>55400.11</v>
      </c>
      <c r="F223" s="830"/>
    </row>
    <row r="224" spans="1:6" ht="13.8" thickTop="1" x14ac:dyDescent="0.25">
      <c r="A224" s="9"/>
      <c r="B224" s="9"/>
      <c r="C224" s="9"/>
      <c r="D224" s="25"/>
      <c r="E224" s="819"/>
      <c r="F224" s="9"/>
    </row>
    <row r="225" spans="1:6" x14ac:dyDescent="0.25">
      <c r="A225" s="818">
        <f>A223+1</f>
        <v>11</v>
      </c>
      <c r="B225" s="23" t="s">
        <v>135</v>
      </c>
      <c r="C225" s="806"/>
      <c r="D225" s="831"/>
      <c r="E225" s="832"/>
      <c r="F225" s="9"/>
    </row>
    <row r="226" spans="1:6" x14ac:dyDescent="0.25">
      <c r="A226" s="9"/>
      <c r="B226" s="9"/>
      <c r="C226" s="9"/>
      <c r="D226" s="25"/>
      <c r="E226" s="819"/>
      <c r="F226" s="9"/>
    </row>
    <row r="227" spans="1:6" x14ac:dyDescent="0.25">
      <c r="A227" s="818">
        <f>A225+1</f>
        <v>12</v>
      </c>
      <c r="B227" s="9" t="s">
        <v>589</v>
      </c>
      <c r="C227" s="9"/>
      <c r="D227" s="821"/>
      <c r="E227" s="822">
        <f>Input!U48</f>
        <v>255.9</v>
      </c>
      <c r="F227" s="9"/>
    </row>
    <row r="228" spans="1:6" x14ac:dyDescent="0.25">
      <c r="A228" s="818">
        <f>A227+1</f>
        <v>13</v>
      </c>
      <c r="B228" s="9" t="s">
        <v>601</v>
      </c>
      <c r="C228" s="9"/>
      <c r="D228" s="824"/>
      <c r="E228" s="822">
        <f>Input!W48</f>
        <v>0</v>
      </c>
      <c r="F228" s="9"/>
    </row>
    <row r="229" spans="1:6" x14ac:dyDescent="0.25">
      <c r="A229" s="818">
        <f>A228+1</f>
        <v>14</v>
      </c>
      <c r="B229" s="9" t="s">
        <v>526</v>
      </c>
      <c r="C229" s="9"/>
      <c r="D229" s="824"/>
      <c r="E229" s="822">
        <f>Input!V48</f>
        <v>0</v>
      </c>
      <c r="F229" s="9"/>
    </row>
    <row r="230" spans="1:6" x14ac:dyDescent="0.25">
      <c r="A230" s="818"/>
      <c r="B230" s="9"/>
      <c r="C230" s="9"/>
      <c r="D230" s="825"/>
      <c r="E230" s="822"/>
      <c r="F230" s="9"/>
    </row>
    <row r="231" spans="1:6" x14ac:dyDescent="0.25">
      <c r="A231" s="818">
        <f>A229+1</f>
        <v>15</v>
      </c>
      <c r="B231" s="9" t="s">
        <v>110</v>
      </c>
      <c r="C231" s="820">
        <f>C223</f>
        <v>18916.099999999999</v>
      </c>
      <c r="D231" s="826">
        <f>Input!P48</f>
        <v>8.5800000000000001E-2</v>
      </c>
      <c r="E231" s="822">
        <f t="shared" ref="E231:E235" si="31">ROUND(C231*D231,2)</f>
        <v>1623</v>
      </c>
      <c r="F231" s="9"/>
    </row>
    <row r="232" spans="1:6" x14ac:dyDescent="0.25">
      <c r="A232" s="818">
        <f>A231+1</f>
        <v>16</v>
      </c>
      <c r="B232" s="9" t="s">
        <v>602</v>
      </c>
      <c r="C232" s="820">
        <f>C231</f>
        <v>18916.099999999999</v>
      </c>
      <c r="D232" s="826">
        <f>Input!Z48</f>
        <v>1.3899999999999999E-2</v>
      </c>
      <c r="E232" s="822">
        <f t="shared" si="31"/>
        <v>262.93</v>
      </c>
      <c r="F232" s="9"/>
    </row>
    <row r="233" spans="1:6" x14ac:dyDescent="0.25">
      <c r="A233" s="818">
        <f t="shared" ref="A233:A234" si="32">A232+1</f>
        <v>17</v>
      </c>
      <c r="B233" s="9" t="s">
        <v>604</v>
      </c>
      <c r="C233" s="820">
        <f>C232</f>
        <v>18916.099999999999</v>
      </c>
      <c r="D233" s="826">
        <f>Input!Y48</f>
        <v>0</v>
      </c>
      <c r="E233" s="822">
        <f t="shared" si="31"/>
        <v>0</v>
      </c>
      <c r="F233" s="9"/>
    </row>
    <row r="234" spans="1:6" x14ac:dyDescent="0.25">
      <c r="A234" s="818">
        <f t="shared" si="32"/>
        <v>18</v>
      </c>
      <c r="B234" s="9" t="s">
        <v>605</v>
      </c>
      <c r="C234" s="820">
        <f t="shared" ref="C234:C235" si="33">C233</f>
        <v>18916.099999999999</v>
      </c>
      <c r="D234" s="826">
        <f>D220</f>
        <v>2.8155000000000001</v>
      </c>
      <c r="E234" s="822">
        <f t="shared" si="31"/>
        <v>53258.28</v>
      </c>
      <c r="F234" s="9"/>
    </row>
    <row r="235" spans="1:6" x14ac:dyDescent="0.25">
      <c r="A235" s="818">
        <f t="shared" ref="A235" si="34">A234+1</f>
        <v>19</v>
      </c>
      <c r="B235" s="9" t="s">
        <v>530</v>
      </c>
      <c r="C235" s="820">
        <f t="shared" si="33"/>
        <v>18916.099999999999</v>
      </c>
      <c r="D235" s="826">
        <f>Input!AA48</f>
        <v>0</v>
      </c>
      <c r="E235" s="822">
        <f t="shared" si="31"/>
        <v>0</v>
      </c>
      <c r="F235" s="9"/>
    </row>
    <row r="236" spans="1:6" x14ac:dyDescent="0.25">
      <c r="A236" s="818"/>
      <c r="B236" s="9"/>
      <c r="C236" s="820"/>
      <c r="D236" s="826"/>
      <c r="E236" s="833"/>
      <c r="F236" s="9"/>
    </row>
    <row r="237" spans="1:6" ht="13.8" thickBot="1" x14ac:dyDescent="0.3">
      <c r="A237" s="818">
        <f>A235+1</f>
        <v>20</v>
      </c>
      <c r="B237" s="9" t="s">
        <v>590</v>
      </c>
      <c r="C237" s="820">
        <f>C235</f>
        <v>18916.099999999999</v>
      </c>
      <c r="D237" s="25"/>
      <c r="E237" s="834">
        <f>SUM(E227:E235)</f>
        <v>55400.11</v>
      </c>
      <c r="F237" s="9"/>
    </row>
    <row r="238" spans="1:6" ht="14.4" thickTop="1" thickBot="1" x14ac:dyDescent="0.3">
      <c r="A238" s="9"/>
      <c r="B238" s="9"/>
      <c r="C238" s="9"/>
      <c r="D238" s="9"/>
      <c r="E238" s="819"/>
      <c r="F238" s="9"/>
    </row>
    <row r="239" spans="1:6" ht="13.8" thickBot="1" x14ac:dyDescent="0.3">
      <c r="A239" s="818">
        <f>A237+1</f>
        <v>21</v>
      </c>
      <c r="B239" s="835" t="s">
        <v>591</v>
      </c>
      <c r="C239" s="836"/>
      <c r="D239" s="836"/>
      <c r="E239" s="837">
        <f>ROUND((E237-E223)/E223,4)</f>
        <v>0</v>
      </c>
      <c r="F239" s="9"/>
    </row>
    <row r="240" spans="1:6" x14ac:dyDescent="0.25">
      <c r="A240" s="818"/>
      <c r="B240" s="23"/>
      <c r="C240" s="23"/>
      <c r="D240" s="23"/>
      <c r="E240" s="23"/>
      <c r="F240" s="9"/>
    </row>
    <row r="241" spans="1:6" x14ac:dyDescent="0.25">
      <c r="A241" s="818">
        <f>A239+1</f>
        <v>22</v>
      </c>
      <c r="B241" s="23" t="s">
        <v>592</v>
      </c>
      <c r="C241" s="23"/>
      <c r="D241" s="23"/>
      <c r="E241" s="838">
        <f>ROUND((E227+E228+E229+E231-E213-E214-E215-E217)/(E213+E214+E215+E217),4)</f>
        <v>0</v>
      </c>
      <c r="F241" s="9"/>
    </row>
    <row r="242" spans="1:6" x14ac:dyDescent="0.25">
      <c r="A242" s="818"/>
      <c r="B242" s="23"/>
      <c r="C242" s="23"/>
      <c r="D242" s="23"/>
      <c r="E242" s="838"/>
      <c r="F242" s="9"/>
    </row>
    <row r="243" spans="1:6" x14ac:dyDescent="0.25">
      <c r="A243" s="818"/>
      <c r="B243" s="23"/>
      <c r="C243" s="23"/>
      <c r="D243" s="23"/>
      <c r="E243" s="838"/>
      <c r="F243" s="9"/>
    </row>
    <row r="245" spans="1:6" x14ac:dyDescent="0.25">
      <c r="A245" s="40" t="s">
        <v>614</v>
      </c>
    </row>
  </sheetData>
  <mergeCells count="15">
    <mergeCell ref="A205:F205"/>
    <mergeCell ref="A5:F5"/>
    <mergeCell ref="A6:F6"/>
    <mergeCell ref="A7:F7"/>
    <mergeCell ref="A52:F52"/>
    <mergeCell ref="A53:F53"/>
    <mergeCell ref="A54:F54"/>
    <mergeCell ref="A152:F152"/>
    <mergeCell ref="A153:F153"/>
    <mergeCell ref="A154:F154"/>
    <mergeCell ref="A203:F203"/>
    <mergeCell ref="A204:F204"/>
    <mergeCell ref="A101:F101"/>
    <mergeCell ref="A102:F102"/>
    <mergeCell ref="A103:F103"/>
  </mergeCells>
  <printOptions horizontalCentered="1"/>
  <pageMargins left="0.5" right="0.25" top="1" bottom="0.75" header="0.5" footer="0.5"/>
  <pageSetup orientation="portrait" r:id="rId1"/>
  <headerFooter alignWithMargins="0">
    <oddHeader>&amp;RKY PSC Case No. 2016-0016
Attachment A to PSC 3-3(b)</oddHeader>
  </headerFooter>
  <rowBreaks count="4" manualBreakCount="4">
    <brk id="47" max="5" man="1"/>
    <brk id="96" max="5" man="1"/>
    <brk id="147" max="5" man="1"/>
    <brk id="198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59"/>
  <sheetViews>
    <sheetView topLeftCell="A34" zoomScale="90" zoomScaleNormal="90" zoomScaleSheetLayoutView="90" workbookViewId="0">
      <selection activeCell="F45" sqref="F45"/>
    </sheetView>
  </sheetViews>
  <sheetFormatPr defaultColWidth="9.6640625" defaultRowHeight="13.2" x14ac:dyDescent="0.25"/>
  <cols>
    <col min="1" max="1" width="10" style="1" bestFit="1" customWidth="1"/>
    <col min="2" max="2" width="9.6640625" style="1"/>
    <col min="3" max="3" width="62.33203125" style="1" customWidth="1"/>
    <col min="4" max="4" width="33.1640625" style="1" customWidth="1"/>
    <col min="5" max="6" width="20.33203125" style="1" bestFit="1" customWidth="1"/>
    <col min="7" max="7" width="14.6640625" style="1" customWidth="1"/>
    <col min="8" max="16384" width="9.6640625" style="1"/>
  </cols>
  <sheetData>
    <row r="1" spans="1:11" x14ac:dyDescent="0.25">
      <c r="G1" s="35" t="s">
        <v>565</v>
      </c>
    </row>
    <row r="2" spans="1:11" x14ac:dyDescent="0.25">
      <c r="G2" s="35" t="s">
        <v>391</v>
      </c>
    </row>
    <row r="3" spans="1:11" x14ac:dyDescent="0.25">
      <c r="G3" s="35" t="s">
        <v>450</v>
      </c>
    </row>
    <row r="4" spans="1:11" x14ac:dyDescent="0.25">
      <c r="A4" s="975" t="str">
        <f>CONAME</f>
        <v>Columbia Gas of Kentucky, Inc.</v>
      </c>
      <c r="B4" s="975"/>
      <c r="C4" s="975"/>
      <c r="D4" s="975"/>
      <c r="E4" s="975"/>
      <c r="F4" s="975"/>
      <c r="G4" s="975"/>
      <c r="H4" s="42"/>
      <c r="I4" s="42"/>
      <c r="J4" s="745"/>
      <c r="K4" s="39"/>
    </row>
    <row r="5" spans="1:11" x14ac:dyDescent="0.25">
      <c r="A5" s="1002" t="s">
        <v>566</v>
      </c>
      <c r="B5" s="1002"/>
      <c r="C5" s="1002"/>
      <c r="D5" s="1002"/>
      <c r="E5" s="1002"/>
      <c r="F5" s="1002"/>
      <c r="G5" s="1002"/>
      <c r="H5" s="43"/>
      <c r="I5" s="43"/>
    </row>
    <row r="6" spans="1:11" x14ac:dyDescent="0.25">
      <c r="A6" s="975" t="str">
        <f>TYDESC</f>
        <v>For the 12 Months Ended December 31, 2017</v>
      </c>
      <c r="B6" s="975"/>
      <c r="C6" s="975"/>
      <c r="D6" s="975"/>
      <c r="E6" s="975"/>
      <c r="F6" s="975"/>
      <c r="G6" s="975"/>
      <c r="H6" s="42"/>
      <c r="I6" s="42"/>
    </row>
    <row r="7" spans="1:11" x14ac:dyDescent="0.25">
      <c r="A7" s="36" t="s">
        <v>1</v>
      </c>
      <c r="F7" s="36"/>
      <c r="G7" s="36"/>
      <c r="H7" s="36"/>
      <c r="I7" s="37"/>
      <c r="J7" s="36"/>
      <c r="K7" s="36"/>
    </row>
    <row r="8" spans="1:11" x14ac:dyDescent="0.25">
      <c r="A8" s="5" t="s">
        <v>3</v>
      </c>
      <c r="D8" s="5" t="s">
        <v>186</v>
      </c>
      <c r="E8" s="5" t="s">
        <v>182</v>
      </c>
      <c r="F8" s="5" t="s">
        <v>183</v>
      </c>
      <c r="G8" s="5"/>
      <c r="H8" s="5"/>
      <c r="I8" s="5"/>
      <c r="J8" s="5"/>
      <c r="K8" s="38"/>
    </row>
    <row r="9" spans="1:11" x14ac:dyDescent="0.25">
      <c r="E9" s="41" t="s">
        <v>60</v>
      </c>
      <c r="F9" s="41" t="s">
        <v>60</v>
      </c>
      <c r="G9" s="41"/>
      <c r="H9" s="41"/>
    </row>
    <row r="11" spans="1:11" x14ac:dyDescent="0.25">
      <c r="A11" s="1">
        <v>1</v>
      </c>
      <c r="C11" s="20" t="s">
        <v>181</v>
      </c>
    </row>
    <row r="13" spans="1:11" x14ac:dyDescent="0.25">
      <c r="A13" s="1">
        <f>A11+1</f>
        <v>2</v>
      </c>
      <c r="C13" s="1" t="s">
        <v>187</v>
      </c>
      <c r="F13" s="2">
        <f>'Sch M 2.2'!Q369</f>
        <v>476000</v>
      </c>
    </row>
    <row r="14" spans="1:11" x14ac:dyDescent="0.25">
      <c r="F14" s="2"/>
    </row>
    <row r="15" spans="1:11" x14ac:dyDescent="0.25">
      <c r="A15" s="1">
        <f>A13+1</f>
        <v>3</v>
      </c>
      <c r="C15" s="1" t="s">
        <v>184</v>
      </c>
      <c r="F15" s="875"/>
    </row>
    <row r="16" spans="1:11" x14ac:dyDescent="0.25">
      <c r="F16" s="875"/>
    </row>
    <row r="17" spans="1:8" x14ac:dyDescent="0.25">
      <c r="A17" s="1">
        <f>A15+1</f>
        <v>4</v>
      </c>
      <c r="B17" s="1" t="s">
        <v>75</v>
      </c>
      <c r="C17" s="1" t="str">
        <f>'Sch M 2.1'!B19</f>
        <v>General Service - Residential</v>
      </c>
      <c r="D17" s="1" t="s">
        <v>64</v>
      </c>
      <c r="E17" s="2">
        <f>'Sch M 2.1'!E19</f>
        <v>49618661.620000005</v>
      </c>
      <c r="F17" s="875">
        <f t="shared" ref="F17:F37" si="0">ROUND(E17*$F$40,0)</f>
        <v>257981</v>
      </c>
      <c r="H17" s="1" t="s">
        <v>337</v>
      </c>
    </row>
    <row r="18" spans="1:8" x14ac:dyDescent="0.25">
      <c r="A18" s="1">
        <f>A17+1</f>
        <v>5</v>
      </c>
      <c r="B18" s="1" t="s">
        <v>77</v>
      </c>
      <c r="C18" s="1" t="str">
        <f>'Sch M 2.1'!B20</f>
        <v>LG&amp;E Commercial</v>
      </c>
      <c r="D18" s="1" t="s">
        <v>64</v>
      </c>
      <c r="E18" s="2">
        <f>'Sch M 2.1'!E20</f>
        <v>9744.43</v>
      </c>
      <c r="F18" s="875">
        <f t="shared" si="0"/>
        <v>51</v>
      </c>
      <c r="H18" s="1" t="s">
        <v>338</v>
      </c>
    </row>
    <row r="19" spans="1:8" x14ac:dyDescent="0.25">
      <c r="A19" s="1">
        <f>A18+1</f>
        <v>6</v>
      </c>
      <c r="B19" s="1" t="s">
        <v>79</v>
      </c>
      <c r="C19" s="1" t="str">
        <f>'Sch M 2.1'!B21</f>
        <v>LG&amp;E Residential</v>
      </c>
      <c r="D19" s="1" t="s">
        <v>64</v>
      </c>
      <c r="E19" s="2">
        <f>'Sch M 2.1'!E21</f>
        <v>13751.73</v>
      </c>
      <c r="F19" s="875">
        <f t="shared" si="0"/>
        <v>71</v>
      </c>
    </row>
    <row r="20" spans="1:8" x14ac:dyDescent="0.25">
      <c r="A20" s="1">
        <f>A19+1</f>
        <v>7</v>
      </c>
      <c r="B20" s="1" t="s">
        <v>74</v>
      </c>
      <c r="C20" s="1" t="str">
        <f>'Sch M 2.1'!B29</f>
        <v>General Service - Commercial</v>
      </c>
      <c r="D20" s="1" t="s">
        <v>64</v>
      </c>
      <c r="E20" s="2">
        <f>'Sch M 2.1'!E29</f>
        <v>18479342.059999999</v>
      </c>
      <c r="F20" s="875">
        <f t="shared" si="0"/>
        <v>96079</v>
      </c>
    </row>
    <row r="21" spans="1:8" x14ac:dyDescent="0.25">
      <c r="A21" s="1">
        <f t="shared" ref="A21:A38" si="1">A20+1</f>
        <v>8</v>
      </c>
      <c r="B21" s="1" t="s">
        <v>74</v>
      </c>
      <c r="C21" s="1" t="str">
        <f>'Sch M 2.1'!B30</f>
        <v>General Service - Industrial</v>
      </c>
      <c r="D21" s="1" t="s">
        <v>64</v>
      </c>
      <c r="E21" s="2">
        <f>'Sch M 2.1'!E30</f>
        <v>1407299.0899999999</v>
      </c>
      <c r="F21" s="875">
        <f t="shared" si="0"/>
        <v>7317</v>
      </c>
    </row>
    <row r="22" spans="1:8" x14ac:dyDescent="0.25">
      <c r="A22" s="1">
        <f>A21+1</f>
        <v>9</v>
      </c>
      <c r="B22" s="1" t="s">
        <v>282</v>
      </c>
      <c r="C22" s="1" t="str">
        <f>'Sch M 2.1'!B31</f>
        <v>Interruptible Service - Industrial</v>
      </c>
      <c r="D22" s="1" t="s">
        <v>64</v>
      </c>
      <c r="E22" s="2">
        <f>'Sch M 2.1'!E31</f>
        <v>0</v>
      </c>
      <c r="F22" s="875">
        <f t="shared" si="0"/>
        <v>0</v>
      </c>
    </row>
    <row r="23" spans="1:8" x14ac:dyDescent="0.25">
      <c r="A23" s="1">
        <f>A22+1</f>
        <v>10</v>
      </c>
      <c r="B23" s="1" t="s">
        <v>92</v>
      </c>
      <c r="C23" s="1" t="str">
        <f>'Sch M 2.1'!B32</f>
        <v>Intrastate Utility Service - Wholesale</v>
      </c>
      <c r="D23" s="1" t="s">
        <v>64</v>
      </c>
      <c r="E23" s="2">
        <f>'Sch M 2.1'!E32</f>
        <v>47711.12000000001</v>
      </c>
      <c r="F23" s="875">
        <f t="shared" si="0"/>
        <v>248</v>
      </c>
    </row>
    <row r="24" spans="1:8" x14ac:dyDescent="0.25">
      <c r="A24" s="1">
        <f>A23+1</f>
        <v>11</v>
      </c>
      <c r="B24" s="1" t="s">
        <v>96</v>
      </c>
      <c r="C24" s="1" t="str">
        <f>'Sch M 2.1'!B36</f>
        <v xml:space="preserve">GTS Choice - Residential </v>
      </c>
      <c r="D24" s="1" t="s">
        <v>64</v>
      </c>
      <c r="E24" s="2">
        <f>'Sch M 2.1'!E36</f>
        <v>9029105.3399999999</v>
      </c>
      <c r="F24" s="875">
        <f t="shared" si="0"/>
        <v>46945</v>
      </c>
    </row>
    <row r="25" spans="1:8" x14ac:dyDescent="0.25">
      <c r="A25" s="1">
        <f>A24+1</f>
        <v>12</v>
      </c>
      <c r="B25" s="1" t="s">
        <v>97</v>
      </c>
      <c r="C25" s="1" t="str">
        <f>'Sch M 2.1'!B37</f>
        <v>GTS Choice - Commercial</v>
      </c>
      <c r="D25" s="1" t="s">
        <v>64</v>
      </c>
      <c r="E25" s="2">
        <f>'Sch M 2.1'!E37</f>
        <v>5787037.3699999992</v>
      </c>
      <c r="F25" s="875">
        <f t="shared" si="0"/>
        <v>30088</v>
      </c>
    </row>
    <row r="26" spans="1:8" x14ac:dyDescent="0.25">
      <c r="A26" s="1">
        <f t="shared" si="1"/>
        <v>13</v>
      </c>
      <c r="B26" s="1" t="s">
        <v>97</v>
      </c>
      <c r="C26" s="1" t="str">
        <f>'Sch M 2.1'!B38</f>
        <v>GTS Choice - Industrial</v>
      </c>
      <c r="D26" s="1" t="s">
        <v>64</v>
      </c>
      <c r="E26" s="2">
        <f>'Sch M 2.1'!E38</f>
        <v>127654.24000000002</v>
      </c>
      <c r="F26" s="875">
        <f t="shared" si="0"/>
        <v>664</v>
      </c>
    </row>
    <row r="27" spans="1:8" x14ac:dyDescent="0.25">
      <c r="A27" s="1">
        <f t="shared" si="1"/>
        <v>14</v>
      </c>
      <c r="B27" s="1" t="s">
        <v>161</v>
      </c>
      <c r="C27" s="1" t="str">
        <f>'Sch M 2.1'!B39</f>
        <v>GTS Delivery Service - Commercial</v>
      </c>
      <c r="D27" s="1" t="s">
        <v>64</v>
      </c>
      <c r="E27" s="2">
        <f>'Sch M 2.1'!E39</f>
        <v>1398811.3699999999</v>
      </c>
      <c r="F27" s="875">
        <f t="shared" si="0"/>
        <v>7273</v>
      </c>
    </row>
    <row r="28" spans="1:8" x14ac:dyDescent="0.25">
      <c r="A28" s="1">
        <f t="shared" si="1"/>
        <v>15</v>
      </c>
      <c r="B28" s="1" t="s">
        <v>161</v>
      </c>
      <c r="C28" s="1" t="str">
        <f>'Sch M 2.1'!B40</f>
        <v>GTS Delivery Service - Industrial</v>
      </c>
      <c r="D28" s="1" t="s">
        <v>64</v>
      </c>
      <c r="E28" s="2">
        <f>'Sch M 2.1'!E40</f>
        <v>3222464.1300000004</v>
      </c>
      <c r="F28" s="875">
        <f t="shared" si="0"/>
        <v>16754</v>
      </c>
    </row>
    <row r="29" spans="1:8" x14ac:dyDescent="0.25">
      <c r="A29" s="1">
        <f t="shared" si="1"/>
        <v>16</v>
      </c>
      <c r="B29" s="1" t="s">
        <v>164</v>
      </c>
      <c r="C29" s="1" t="str">
        <f>'Sch M 2.1'!B41</f>
        <v>GTS Grandfathered Delivery Service - Commercial</v>
      </c>
      <c r="D29" s="1" t="s">
        <v>64</v>
      </c>
      <c r="E29" s="2">
        <f>'Sch M 2.1'!E41</f>
        <v>351127.13</v>
      </c>
      <c r="F29" s="875">
        <f t="shared" si="0"/>
        <v>1826</v>
      </c>
    </row>
    <row r="30" spans="1:8" x14ac:dyDescent="0.25">
      <c r="A30" s="1">
        <f t="shared" si="1"/>
        <v>17</v>
      </c>
      <c r="B30" s="1" t="s">
        <v>164</v>
      </c>
      <c r="C30" s="1" t="str">
        <f>'Sch M 2.1'!B42</f>
        <v>GTS Grandfathered Delivery Service - Industrial</v>
      </c>
      <c r="D30" s="1" t="s">
        <v>64</v>
      </c>
      <c r="E30" s="2">
        <f>'Sch M 2.1'!E42</f>
        <v>276061.19</v>
      </c>
      <c r="F30" s="875">
        <f t="shared" si="0"/>
        <v>1435</v>
      </c>
    </row>
    <row r="31" spans="1:8" x14ac:dyDescent="0.25">
      <c r="A31" s="1">
        <f t="shared" si="1"/>
        <v>18</v>
      </c>
      <c r="B31" s="1" t="s">
        <v>73</v>
      </c>
      <c r="C31" s="1" t="str">
        <f>'Sch M 2.1'!B43</f>
        <v>GTS Main Line Service - Industrial</v>
      </c>
      <c r="D31" s="1" t="s">
        <v>64</v>
      </c>
      <c r="E31" s="2">
        <f>'Sch M 2.1'!E43</f>
        <v>67640.579999999987</v>
      </c>
      <c r="F31" s="875">
        <f t="shared" si="0"/>
        <v>352</v>
      </c>
    </row>
    <row r="32" spans="1:8" x14ac:dyDescent="0.25">
      <c r="A32" s="1">
        <f t="shared" si="1"/>
        <v>19</v>
      </c>
      <c r="B32" s="1" t="s">
        <v>98</v>
      </c>
      <c r="C32" s="1" t="str">
        <f>'Sch M 2.1'!B44</f>
        <v>GTS Flex Rate - Commercial</v>
      </c>
      <c r="D32" s="1" t="s">
        <v>64</v>
      </c>
      <c r="E32" s="2">
        <f>'Sch M 2.1'!E44</f>
        <v>224062.07999999999</v>
      </c>
      <c r="F32" s="875">
        <f t="shared" si="0"/>
        <v>1165</v>
      </c>
    </row>
    <row r="33" spans="1:6" x14ac:dyDescent="0.25">
      <c r="A33" s="1">
        <f t="shared" si="1"/>
        <v>20</v>
      </c>
      <c r="B33" s="1" t="s">
        <v>99</v>
      </c>
      <c r="C33" s="1" t="str">
        <f>'Sch M 2.1'!B45</f>
        <v>GTS Flex Rate - Commercial</v>
      </c>
      <c r="D33" s="1" t="s">
        <v>64</v>
      </c>
      <c r="E33" s="2">
        <f>'Sch M 2.1'!E45</f>
        <v>221010.72000000003</v>
      </c>
      <c r="F33" s="875">
        <f t="shared" si="0"/>
        <v>1149</v>
      </c>
    </row>
    <row r="34" spans="1:6" x14ac:dyDescent="0.25">
      <c r="A34" s="1">
        <f>A33+1</f>
        <v>21</v>
      </c>
      <c r="B34" s="1" t="s">
        <v>100</v>
      </c>
      <c r="C34" s="1" t="str">
        <f>'Sch M 2.1'!B46</f>
        <v>GTS Flex Rate - Industrial</v>
      </c>
      <c r="D34" s="1" t="s">
        <v>64</v>
      </c>
      <c r="E34" s="2">
        <f>'Sch M 2.1'!E46</f>
        <v>411572.36</v>
      </c>
      <c r="F34" s="875">
        <f t="shared" si="0"/>
        <v>2140</v>
      </c>
    </row>
    <row r="35" spans="1:6" x14ac:dyDescent="0.25">
      <c r="A35" s="1">
        <f>A34+1</f>
        <v>22</v>
      </c>
      <c r="B35" s="1" t="s">
        <v>138</v>
      </c>
      <c r="C35" s="1" t="str">
        <f>'Sch M 2.1'!B47</f>
        <v>GTS Flex Rate - Industrial</v>
      </c>
      <c r="D35" s="1" t="s">
        <v>64</v>
      </c>
      <c r="E35" s="2">
        <f>'Sch M 2.1'!E47</f>
        <v>192155.4</v>
      </c>
      <c r="F35" s="875">
        <f t="shared" si="0"/>
        <v>999</v>
      </c>
    </row>
    <row r="36" spans="1:6" x14ac:dyDescent="0.25">
      <c r="A36" s="1">
        <f>A35+1</f>
        <v>23</v>
      </c>
      <c r="B36" s="1" t="s">
        <v>139</v>
      </c>
      <c r="C36" s="1" t="str">
        <f>'Sch M 2.1'!B48</f>
        <v>GTS Special Agency Service</v>
      </c>
      <c r="D36" s="1" t="s">
        <v>64</v>
      </c>
      <c r="E36" s="2">
        <f>'Sch M 2.1'!E48</f>
        <v>0</v>
      </c>
      <c r="F36" s="875">
        <f t="shared" si="0"/>
        <v>0</v>
      </c>
    </row>
    <row r="37" spans="1:6" x14ac:dyDescent="0.25">
      <c r="A37" s="1">
        <f t="shared" si="1"/>
        <v>24</v>
      </c>
      <c r="B37" s="1" t="s">
        <v>101</v>
      </c>
      <c r="C37" s="1" t="str">
        <f>'Sch M 2.1'!B49</f>
        <v>GTS Special Rate - Industrial</v>
      </c>
      <c r="D37" s="1" t="s">
        <v>64</v>
      </c>
      <c r="E37" s="854">
        <f>'Sch M 2.1'!E49</f>
        <v>666000.40000000014</v>
      </c>
      <c r="F37" s="876">
        <f t="shared" si="0"/>
        <v>3463</v>
      </c>
    </row>
    <row r="38" spans="1:6" x14ac:dyDescent="0.25">
      <c r="A38" s="1">
        <f t="shared" si="1"/>
        <v>25</v>
      </c>
      <c r="C38" s="1" t="s">
        <v>9</v>
      </c>
      <c r="E38" s="2">
        <f>SUM(E17:E37)</f>
        <v>91551212.360000014</v>
      </c>
      <c r="F38" s="875">
        <f>SUM(F17:F37)</f>
        <v>476000</v>
      </c>
    </row>
    <row r="39" spans="1:6" x14ac:dyDescent="0.25">
      <c r="F39" s="9"/>
    </row>
    <row r="40" spans="1:6" x14ac:dyDescent="0.25">
      <c r="A40" s="1">
        <f>A38+1</f>
        <v>26</v>
      </c>
      <c r="C40" s="1" t="s">
        <v>336</v>
      </c>
      <c r="D40" s="40" t="s">
        <v>190</v>
      </c>
      <c r="F40" s="877">
        <f>ROUND(F13/E38,9)</f>
        <v>5.1992760000000001E-3</v>
      </c>
    </row>
    <row r="41" spans="1:6" x14ac:dyDescent="0.25">
      <c r="F41" s="9"/>
    </row>
    <row r="42" spans="1:6" x14ac:dyDescent="0.25">
      <c r="A42" s="1">
        <f>A40+1</f>
        <v>27</v>
      </c>
      <c r="C42" s="1" t="s">
        <v>185</v>
      </c>
      <c r="F42" s="9"/>
    </row>
    <row r="43" spans="1:6" x14ac:dyDescent="0.25">
      <c r="F43" s="9"/>
    </row>
    <row r="44" spans="1:6" x14ac:dyDescent="0.25">
      <c r="A44" s="1">
        <f>A42+1</f>
        <v>28</v>
      </c>
      <c r="C44" s="1" t="s">
        <v>159</v>
      </c>
      <c r="D44" s="9" t="s">
        <v>562</v>
      </c>
      <c r="E44" s="2">
        <f>'Rate Design MPB-1'!H13</f>
        <v>67431215.00999999</v>
      </c>
      <c r="F44" s="875">
        <f>F57-SUM(F45:F54)</f>
        <v>350592</v>
      </c>
    </row>
    <row r="45" spans="1:6" x14ac:dyDescent="0.25">
      <c r="A45" s="1">
        <f>A44+1</f>
        <v>29</v>
      </c>
      <c r="C45" s="1" t="s">
        <v>173</v>
      </c>
      <c r="D45" s="9" t="s">
        <v>562</v>
      </c>
      <c r="E45" s="2">
        <f>'Rate Design MPB-1'!H14</f>
        <v>30054195.93</v>
      </c>
      <c r="F45" s="875">
        <f t="shared" ref="F45:F54" si="2">ROUND(E45*$F$40,0)</f>
        <v>156260</v>
      </c>
    </row>
    <row r="46" spans="1:6" x14ac:dyDescent="0.25">
      <c r="A46" s="1">
        <f t="shared" ref="A46:A55" si="3">A45+1</f>
        <v>30</v>
      </c>
      <c r="C46" s="9" t="s">
        <v>191</v>
      </c>
      <c r="D46" s="9" t="s">
        <v>562</v>
      </c>
      <c r="E46" s="2">
        <f>'Rate Design MPB-1'!H15</f>
        <v>5643190.0200000005</v>
      </c>
      <c r="F46" s="875">
        <f t="shared" si="2"/>
        <v>29341</v>
      </c>
    </row>
    <row r="47" spans="1:6" x14ac:dyDescent="0.25">
      <c r="A47" s="1">
        <f t="shared" si="3"/>
        <v>31</v>
      </c>
      <c r="C47" s="9" t="s">
        <v>290</v>
      </c>
      <c r="D47" s="9" t="s">
        <v>562</v>
      </c>
      <c r="E47" s="2">
        <f>'Rate Design MPB-1'!H16</f>
        <v>0</v>
      </c>
      <c r="F47" s="875">
        <f t="shared" si="2"/>
        <v>0</v>
      </c>
    </row>
    <row r="48" spans="1:6" x14ac:dyDescent="0.25">
      <c r="A48" s="1">
        <f t="shared" si="3"/>
        <v>32</v>
      </c>
      <c r="C48" s="9" t="s">
        <v>92</v>
      </c>
      <c r="D48" s="9" t="s">
        <v>562</v>
      </c>
      <c r="E48" s="2">
        <f>'Rate Design MPB-1'!H17</f>
        <v>52092.13</v>
      </c>
      <c r="F48" s="875">
        <f t="shared" si="2"/>
        <v>271</v>
      </c>
    </row>
    <row r="49" spans="1:6" x14ac:dyDescent="0.25">
      <c r="A49" s="1">
        <f t="shared" si="3"/>
        <v>33</v>
      </c>
      <c r="C49" s="9" t="s">
        <v>73</v>
      </c>
      <c r="D49" s="9" t="s">
        <v>562</v>
      </c>
      <c r="E49" s="2">
        <f>'Rate Design MPB-1'!H27</f>
        <v>67640.579999999987</v>
      </c>
      <c r="F49" s="875">
        <f t="shared" si="2"/>
        <v>352</v>
      </c>
    </row>
    <row r="50" spans="1:6" x14ac:dyDescent="0.25">
      <c r="A50" s="1">
        <f t="shared" si="3"/>
        <v>34</v>
      </c>
      <c r="C50" s="1" t="s">
        <v>98</v>
      </c>
      <c r="D50" s="9" t="s">
        <v>562</v>
      </c>
      <c r="E50" s="2">
        <f>'Rate Design MPB-1'!H28</f>
        <v>224062.07999999999</v>
      </c>
      <c r="F50" s="875">
        <f t="shared" si="2"/>
        <v>1165</v>
      </c>
    </row>
    <row r="51" spans="1:6" x14ac:dyDescent="0.25">
      <c r="A51" s="1">
        <f t="shared" si="3"/>
        <v>35</v>
      </c>
      <c r="C51" s="1" t="s">
        <v>99</v>
      </c>
      <c r="D51" s="9" t="s">
        <v>562</v>
      </c>
      <c r="E51" s="2">
        <f>'Rate Design MPB-1'!H29</f>
        <v>221010.72000000003</v>
      </c>
      <c r="F51" s="875">
        <f t="shared" si="2"/>
        <v>1149</v>
      </c>
    </row>
    <row r="52" spans="1:6" x14ac:dyDescent="0.25">
      <c r="A52" s="1">
        <f t="shared" si="3"/>
        <v>36</v>
      </c>
      <c r="C52" s="1" t="s">
        <v>100</v>
      </c>
      <c r="D52" s="9" t="s">
        <v>562</v>
      </c>
      <c r="E52" s="2">
        <f>'Rate Design MPB-1'!H30</f>
        <v>411572.36</v>
      </c>
      <c r="F52" s="875">
        <f t="shared" si="2"/>
        <v>2140</v>
      </c>
    </row>
    <row r="53" spans="1:6" x14ac:dyDescent="0.25">
      <c r="A53" s="1">
        <f t="shared" si="3"/>
        <v>37</v>
      </c>
      <c r="C53" s="1" t="s">
        <v>138</v>
      </c>
      <c r="D53" s="9" t="s">
        <v>562</v>
      </c>
      <c r="E53" s="2">
        <f>'Rate Design MPB-1'!H31</f>
        <v>192155.4</v>
      </c>
      <c r="F53" s="875">
        <f t="shared" si="2"/>
        <v>999</v>
      </c>
    </row>
    <row r="54" spans="1:6" x14ac:dyDescent="0.25">
      <c r="A54" s="1">
        <f t="shared" si="3"/>
        <v>38</v>
      </c>
      <c r="C54" s="1" t="s">
        <v>101</v>
      </c>
      <c r="D54" s="9" t="s">
        <v>562</v>
      </c>
      <c r="E54" s="854">
        <f>'Rate Design MPB-1'!H32</f>
        <v>666000.40000000014</v>
      </c>
      <c r="F54" s="876">
        <f t="shared" si="2"/>
        <v>3463</v>
      </c>
    </row>
    <row r="55" spans="1:6" x14ac:dyDescent="0.25">
      <c r="A55" s="1">
        <f t="shared" si="3"/>
        <v>39</v>
      </c>
      <c r="C55" s="1" t="s">
        <v>9</v>
      </c>
      <c r="E55" s="2">
        <f>SUM(E44:E54)</f>
        <v>104963134.63</v>
      </c>
      <c r="F55" s="875">
        <f>SUM(F44:F54)</f>
        <v>545732</v>
      </c>
    </row>
    <row r="56" spans="1:6" x14ac:dyDescent="0.25">
      <c r="F56" s="9"/>
    </row>
    <row r="57" spans="1:6" x14ac:dyDescent="0.25">
      <c r="A57" s="1">
        <f>A55+1</f>
        <v>40</v>
      </c>
      <c r="C57" s="1" t="s">
        <v>188</v>
      </c>
      <c r="D57" s="1" t="s">
        <v>563</v>
      </c>
      <c r="F57" s="875">
        <f>ROUND(E55*F40,0)</f>
        <v>545732</v>
      </c>
    </row>
    <row r="58" spans="1:6" x14ac:dyDescent="0.25">
      <c r="F58" s="9"/>
    </row>
    <row r="59" spans="1:6" x14ac:dyDescent="0.25">
      <c r="A59" s="1">
        <f>A57+1</f>
        <v>41</v>
      </c>
      <c r="C59" s="20" t="s">
        <v>189</v>
      </c>
      <c r="D59" s="20" t="s">
        <v>564</v>
      </c>
      <c r="E59" s="20"/>
      <c r="F59" s="878">
        <f>F57-F13</f>
        <v>69732</v>
      </c>
    </row>
  </sheetData>
  <mergeCells count="3">
    <mergeCell ref="A6:G6"/>
    <mergeCell ref="A5:G5"/>
    <mergeCell ref="A4:G4"/>
  </mergeCells>
  <phoneticPr fontId="2" type="noConversion"/>
  <printOptions horizontalCentered="1"/>
  <pageMargins left="1" right="1" top="1" bottom="1" header="0.5" footer="0.5"/>
  <pageSetup scale="67" orientation="portrait" r:id="rId1"/>
  <headerFooter alignWithMargins="0">
    <oddHeader>&amp;RKY PSC Case No. 2016-0016
Attachment A to PSC 3-3(b)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A26" sqref="A26"/>
    </sheetView>
  </sheetViews>
  <sheetFormatPr defaultColWidth="9.6640625" defaultRowHeight="10.199999999999999" x14ac:dyDescent="0.2"/>
  <cols>
    <col min="1" max="1" width="6.33203125" style="219" customWidth="1"/>
    <col min="2" max="2" width="48.33203125" style="219" customWidth="1"/>
    <col min="3" max="3" width="15" style="219" customWidth="1"/>
    <col min="4" max="4" width="19.33203125" style="219" customWidth="1"/>
    <col min="5" max="5" width="14.6640625" style="219" customWidth="1"/>
    <col min="6" max="6" width="8.33203125" style="219" customWidth="1"/>
    <col min="7" max="16384" width="9.6640625" style="219"/>
  </cols>
  <sheetData>
    <row r="1" spans="1:8" ht="13.2" x14ac:dyDescent="0.25">
      <c r="A1" s="1"/>
      <c r="B1" s="1"/>
      <c r="C1" s="1"/>
      <c r="D1" s="1"/>
      <c r="E1" s="1"/>
      <c r="F1" s="808" t="s">
        <v>582</v>
      </c>
    </row>
    <row r="2" spans="1:8" ht="13.2" x14ac:dyDescent="0.25">
      <c r="A2" s="1"/>
      <c r="B2" s="1"/>
      <c r="C2" s="1"/>
      <c r="D2" s="1"/>
      <c r="E2" s="1"/>
      <c r="F2" s="808" t="s">
        <v>450</v>
      </c>
    </row>
    <row r="3" spans="1:8" ht="13.2" x14ac:dyDescent="0.25">
      <c r="A3" s="1"/>
      <c r="B3" s="1"/>
      <c r="C3" s="1"/>
      <c r="D3" s="1"/>
      <c r="E3" s="1"/>
      <c r="F3" s="808" t="s">
        <v>593</v>
      </c>
    </row>
    <row r="4" spans="1:8" ht="13.2" x14ac:dyDescent="0.25">
      <c r="A4" s="1"/>
      <c r="B4" s="1"/>
      <c r="C4" s="1"/>
      <c r="D4" s="1"/>
      <c r="E4" s="1"/>
      <c r="F4" s="808" t="s">
        <v>599</v>
      </c>
    </row>
    <row r="5" spans="1:8" ht="13.2" x14ac:dyDescent="0.25">
      <c r="A5" s="1003" t="s">
        <v>36</v>
      </c>
      <c r="B5" s="1003"/>
      <c r="C5" s="1003"/>
      <c r="D5" s="1003"/>
      <c r="E5" s="1003"/>
      <c r="F5" s="1003"/>
    </row>
    <row r="6" spans="1:8" ht="13.2" x14ac:dyDescent="0.25">
      <c r="A6" s="1004" t="s">
        <v>574</v>
      </c>
      <c r="B6" s="1004"/>
      <c r="C6" s="1004"/>
      <c r="D6" s="1004"/>
      <c r="E6" s="1004"/>
      <c r="F6" s="1004"/>
    </row>
    <row r="7" spans="1:8" ht="13.2" x14ac:dyDescent="0.25">
      <c r="A7" s="1003" t="s">
        <v>583</v>
      </c>
      <c r="B7" s="1003"/>
      <c r="C7" s="1003"/>
      <c r="D7" s="1003"/>
      <c r="E7" s="1003"/>
      <c r="F7" s="1003"/>
    </row>
    <row r="8" spans="1:8" ht="13.2" x14ac:dyDescent="0.25">
      <c r="A8" s="1"/>
      <c r="B8" s="1"/>
      <c r="C8" s="1"/>
      <c r="D8" s="1"/>
      <c r="E8" s="1"/>
      <c r="F8" s="1"/>
    </row>
    <row r="9" spans="1:8" ht="13.2" x14ac:dyDescent="0.25">
      <c r="A9" s="1"/>
      <c r="B9" s="1"/>
      <c r="C9" s="809" t="s">
        <v>47</v>
      </c>
      <c r="D9" s="809"/>
      <c r="E9" s="809" t="s">
        <v>30</v>
      </c>
      <c r="F9" s="809"/>
    </row>
    <row r="10" spans="1:8" ht="13.2" x14ac:dyDescent="0.25">
      <c r="A10" s="1"/>
      <c r="B10" s="1"/>
      <c r="C10" s="810" t="s">
        <v>48</v>
      </c>
      <c r="D10" s="810"/>
      <c r="E10" s="810" t="s">
        <v>48</v>
      </c>
      <c r="F10" s="810"/>
    </row>
    <row r="11" spans="1:8" ht="13.2" x14ac:dyDescent="0.25">
      <c r="A11" s="20" t="s">
        <v>594</v>
      </c>
      <c r="B11" s="9"/>
      <c r="C11" s="9"/>
      <c r="D11" s="9"/>
      <c r="E11" s="9"/>
      <c r="F11" s="811"/>
    </row>
    <row r="12" spans="1:8" ht="13.2" x14ac:dyDescent="0.25">
      <c r="A12" s="1"/>
      <c r="B12" s="9" t="s">
        <v>584</v>
      </c>
      <c r="C12" s="812">
        <f>'Rate Design MPB-1'!I187</f>
        <v>15</v>
      </c>
      <c r="D12" s="813"/>
      <c r="E12" s="812">
        <f>'Rate Design MPB-1'!F187</f>
        <v>16</v>
      </c>
      <c r="F12" s="814"/>
      <c r="H12" s="432"/>
    </row>
    <row r="13" spans="1:8" ht="13.2" x14ac:dyDescent="0.25">
      <c r="A13" s="1"/>
      <c r="B13" s="9" t="s">
        <v>110</v>
      </c>
      <c r="C13" s="817">
        <f>'Rate Design MPB-1'!I191</f>
        <v>2.2665999999999999</v>
      </c>
      <c r="D13" s="817"/>
      <c r="E13" s="817">
        <f>'Rate Design MPB-1'!F191</f>
        <v>3.5926999999999998</v>
      </c>
      <c r="F13" s="814"/>
      <c r="H13" s="816"/>
    </row>
    <row r="14" spans="1:8" ht="13.2" x14ac:dyDescent="0.25">
      <c r="A14" s="1"/>
      <c r="B14" s="9"/>
      <c r="C14" s="813"/>
      <c r="D14" s="813"/>
      <c r="E14" s="813"/>
      <c r="F14" s="814"/>
    </row>
    <row r="15" spans="1:8" ht="13.2" x14ac:dyDescent="0.25">
      <c r="A15" s="20" t="s">
        <v>595</v>
      </c>
      <c r="B15" s="9"/>
      <c r="C15" s="813"/>
      <c r="D15" s="813"/>
      <c r="E15" s="813"/>
      <c r="F15" s="811"/>
    </row>
    <row r="16" spans="1:8" ht="13.2" x14ac:dyDescent="0.25">
      <c r="A16" s="20"/>
      <c r="B16" s="9" t="s">
        <v>584</v>
      </c>
      <c r="C16" s="812">
        <f>'Rate Design MPB-1'!J210</f>
        <v>37.5</v>
      </c>
      <c r="D16" s="813"/>
      <c r="E16" s="812">
        <f>'Rate Design MPB-1'!F210</f>
        <v>44.69</v>
      </c>
      <c r="F16" s="811"/>
    </row>
    <row r="17" spans="1:6" ht="13.2" x14ac:dyDescent="0.25">
      <c r="A17" s="20"/>
      <c r="B17" s="9" t="s">
        <v>548</v>
      </c>
      <c r="C17" s="817">
        <f>'Rate Design MPB-1'!J215</f>
        <v>2.2665999999999999</v>
      </c>
      <c r="D17" s="817"/>
      <c r="E17" s="817">
        <f>'Rate Design MPB-1'!F215</f>
        <v>3.0331999999999999</v>
      </c>
      <c r="F17" s="811"/>
    </row>
    <row r="18" spans="1:6" ht="13.2" x14ac:dyDescent="0.25">
      <c r="A18" s="20"/>
      <c r="B18" s="9" t="s">
        <v>549</v>
      </c>
      <c r="C18" s="817">
        <f>'Rate Design MPB-1'!J216</f>
        <v>1.752</v>
      </c>
      <c r="D18" s="817"/>
      <c r="E18" s="817">
        <f>'Rate Design MPB-1'!F216</f>
        <v>2.3445999999999998</v>
      </c>
      <c r="F18" s="811"/>
    </row>
    <row r="19" spans="1:6" ht="13.2" x14ac:dyDescent="0.25">
      <c r="A19" s="20"/>
      <c r="B19" s="9" t="s">
        <v>550</v>
      </c>
      <c r="C19" s="817">
        <f>'Rate Design MPB-1'!J217</f>
        <v>1.6658999999999999</v>
      </c>
      <c r="D19" s="817"/>
      <c r="E19" s="817">
        <f>'Rate Design MPB-1'!F217</f>
        <v>2.2294</v>
      </c>
      <c r="F19" s="811"/>
    </row>
    <row r="20" spans="1:6" ht="13.2" x14ac:dyDescent="0.25">
      <c r="A20" s="20"/>
      <c r="B20" s="9" t="s">
        <v>551</v>
      </c>
      <c r="C20" s="817">
        <f>'Rate Design MPB-1'!J218</f>
        <v>1.5164</v>
      </c>
      <c r="D20" s="817"/>
      <c r="E20" s="817">
        <f>'Rate Design MPB-1'!F218</f>
        <v>2.0294000000000003</v>
      </c>
      <c r="F20" s="811"/>
    </row>
    <row r="21" spans="1:6" ht="13.2" x14ac:dyDescent="0.25">
      <c r="A21" s="20"/>
      <c r="B21" s="9"/>
      <c r="C21" s="817"/>
      <c r="D21" s="817"/>
      <c r="E21" s="817"/>
      <c r="F21" s="811"/>
    </row>
    <row r="22" spans="1:6" ht="13.2" x14ac:dyDescent="0.25">
      <c r="A22" s="20" t="s">
        <v>596</v>
      </c>
      <c r="B22" s="9"/>
      <c r="C22" s="813"/>
      <c r="D22" s="813"/>
      <c r="E22" s="813"/>
      <c r="F22" s="811"/>
    </row>
    <row r="23" spans="1:6" ht="13.2" x14ac:dyDescent="0.25">
      <c r="A23" s="20"/>
      <c r="B23" s="9" t="s">
        <v>584</v>
      </c>
      <c r="C23" s="812">
        <f>'Rate Design MPB-1'!J239</f>
        <v>1007.05</v>
      </c>
      <c r="D23" s="813"/>
      <c r="E23" s="812">
        <f>'Rate Design MPB-1'!F239</f>
        <v>2007</v>
      </c>
      <c r="F23" s="811"/>
    </row>
    <row r="24" spans="1:6" ht="13.2" x14ac:dyDescent="0.25">
      <c r="A24" s="20"/>
      <c r="B24" s="9" t="s">
        <v>487</v>
      </c>
      <c r="C24" s="817">
        <f>'Rate Design MPB-1'!J244</f>
        <v>0.54430000000000001</v>
      </c>
      <c r="D24" s="817"/>
      <c r="E24" s="817">
        <f>'Rate Design MPB-1'!F244</f>
        <v>0.6321</v>
      </c>
      <c r="F24" s="811"/>
    </row>
    <row r="25" spans="1:6" ht="13.2" x14ac:dyDescent="0.25">
      <c r="A25" s="20"/>
      <c r="B25" s="9" t="s">
        <v>648</v>
      </c>
      <c r="C25" s="817">
        <f>'Rate Design MPB-1'!J245</f>
        <v>0.28899999999999998</v>
      </c>
      <c r="D25" s="817"/>
      <c r="E25" s="817">
        <f>'Rate Design MPB-1'!F245</f>
        <v>0.37730000000000002</v>
      </c>
      <c r="F25" s="811"/>
    </row>
    <row r="26" spans="1:6" ht="13.2" x14ac:dyDescent="0.25">
      <c r="A26" s="20"/>
      <c r="B26" s="9" t="s">
        <v>649</v>
      </c>
      <c r="C26" s="817">
        <f>'Rate Design MPB-1'!J246</f>
        <v>0.28899999999999998</v>
      </c>
      <c r="D26" s="817"/>
      <c r="E26" s="817">
        <f>'Rate Design MPB-1'!F246</f>
        <v>0.32829999999999998</v>
      </c>
      <c r="F26" s="811"/>
    </row>
    <row r="27" spans="1:6" ht="13.2" x14ac:dyDescent="0.25">
      <c r="A27" s="20"/>
      <c r="B27" s="9"/>
      <c r="C27" s="815"/>
      <c r="D27" s="813"/>
      <c r="E27" s="815"/>
      <c r="F27" s="811"/>
    </row>
    <row r="28" spans="1:6" ht="13.2" x14ac:dyDescent="0.25">
      <c r="A28" s="20" t="s">
        <v>597</v>
      </c>
      <c r="B28" s="9"/>
      <c r="C28" s="813"/>
      <c r="D28" s="813"/>
      <c r="E28" s="813"/>
      <c r="F28" s="811"/>
    </row>
    <row r="29" spans="1:6" ht="13.2" x14ac:dyDescent="0.25">
      <c r="A29" s="20"/>
      <c r="B29" s="9"/>
      <c r="C29" s="813"/>
      <c r="D29" s="813"/>
      <c r="E29" s="813"/>
      <c r="F29" s="811"/>
    </row>
    <row r="30" spans="1:6" ht="13.2" x14ac:dyDescent="0.25">
      <c r="A30" s="20"/>
      <c r="B30" s="9" t="s">
        <v>584</v>
      </c>
      <c r="C30" s="812">
        <f>'Rate Design MPB-1'!J267</f>
        <v>477</v>
      </c>
      <c r="D30" s="813"/>
      <c r="E30" s="812">
        <f>'Rate Design MPB-1'!F267</f>
        <v>567.4</v>
      </c>
      <c r="F30" s="811"/>
    </row>
    <row r="31" spans="1:6" ht="13.2" x14ac:dyDescent="0.25">
      <c r="A31" s="20"/>
      <c r="B31" s="9" t="s">
        <v>110</v>
      </c>
      <c r="C31" s="817">
        <f>'Rate Design MPB-1'!J271</f>
        <v>0.81499999999999995</v>
      </c>
      <c r="D31" s="817"/>
      <c r="E31" s="817">
        <f>'Rate Design MPB-1'!F271</f>
        <v>1.1635</v>
      </c>
      <c r="F31" s="811"/>
    </row>
    <row r="32" spans="1:6" ht="13.2" x14ac:dyDescent="0.25">
      <c r="A32" s="20"/>
      <c r="B32" s="9"/>
      <c r="C32" s="813"/>
      <c r="D32" s="813"/>
      <c r="E32" s="813"/>
      <c r="F32" s="811"/>
    </row>
    <row r="33" spans="1:6" ht="13.2" x14ac:dyDescent="0.25">
      <c r="A33" s="20" t="s">
        <v>598</v>
      </c>
      <c r="B33" s="9"/>
      <c r="C33" s="9"/>
      <c r="D33" s="9"/>
      <c r="E33" s="9"/>
      <c r="F33" s="811"/>
    </row>
    <row r="34" spans="1:6" ht="13.2" x14ac:dyDescent="0.25">
      <c r="A34" s="1"/>
      <c r="B34" s="9" t="s">
        <v>584</v>
      </c>
      <c r="C34" s="812">
        <f>'Rate Design MPB-1'!J282</f>
        <v>200</v>
      </c>
      <c r="D34" s="813"/>
      <c r="E34" s="812">
        <f>'Rate Design MPB-1'!F282</f>
        <v>255.9</v>
      </c>
      <c r="F34" s="814"/>
    </row>
    <row r="35" spans="1:6" ht="13.2" x14ac:dyDescent="0.25">
      <c r="A35" s="1"/>
      <c r="B35" s="9" t="s">
        <v>110</v>
      </c>
      <c r="C35" s="817">
        <f>'Rate Design MPB-1'!J286</f>
        <v>8.5800000000000001E-2</v>
      </c>
      <c r="D35" s="817"/>
      <c r="E35" s="817">
        <f>'Rate Design MPB-1'!F286</f>
        <v>8.5800000000000001E-2</v>
      </c>
      <c r="F35" s="814"/>
    </row>
    <row r="36" spans="1:6" ht="13.2" x14ac:dyDescent="0.25">
      <c r="A36" s="1"/>
      <c r="B36" s="9"/>
      <c r="C36" s="813"/>
      <c r="D36" s="813"/>
      <c r="E36" s="813"/>
      <c r="F36" s="814"/>
    </row>
  </sheetData>
  <mergeCells count="3">
    <mergeCell ref="A5:F5"/>
    <mergeCell ref="A6:F6"/>
    <mergeCell ref="A7:F7"/>
  </mergeCells>
  <printOptions horizontalCentered="1"/>
  <pageMargins left="1" right="1" top="1" bottom="1" header="0.5" footer="0.5"/>
  <pageSetup orientation="portrait" r:id="rId1"/>
  <headerFooter alignWithMargins="0">
    <oddHeader>&amp;RKY PSC Case No. 2016-0016
Attachment A to PSC 3-3(b)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zoomScaleNormal="100" zoomScaleSheetLayoutView="80" workbookViewId="0">
      <selection activeCell="H20" sqref="H20"/>
    </sheetView>
  </sheetViews>
  <sheetFormatPr defaultColWidth="9.6640625" defaultRowHeight="13.2" x14ac:dyDescent="0.25"/>
  <cols>
    <col min="1" max="1" width="8" style="894" customWidth="1"/>
    <col min="2" max="2" width="49.1640625" style="894" customWidth="1"/>
    <col min="3" max="3" width="14.83203125" style="894" bestFit="1" customWidth="1"/>
    <col min="4" max="4" width="18.83203125" style="894" bestFit="1" customWidth="1"/>
    <col min="5" max="5" width="13.83203125" style="894" bestFit="1" customWidth="1"/>
    <col min="6" max="6" width="18" style="894" bestFit="1" customWidth="1"/>
    <col min="7" max="7" width="16.33203125" style="894" bestFit="1" customWidth="1"/>
    <col min="8" max="8" width="18" style="894" bestFit="1" customWidth="1"/>
    <col min="9" max="9" width="12" style="897" bestFit="1" customWidth="1"/>
    <col min="10" max="10" width="19.33203125" style="894" bestFit="1" customWidth="1"/>
    <col min="11" max="11" width="18" style="894" bestFit="1" customWidth="1"/>
    <col min="12" max="12" width="3.6640625" style="894" customWidth="1"/>
    <col min="13" max="13" width="13.6640625" style="894" bestFit="1" customWidth="1"/>
    <col min="14" max="16384" width="9.6640625" style="894"/>
  </cols>
  <sheetData>
    <row r="1" spans="1:13" x14ac:dyDescent="0.25">
      <c r="A1" s="1005" t="s">
        <v>652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</row>
    <row r="2" spans="1:13" x14ac:dyDescent="0.25">
      <c r="A2" s="1005" t="s">
        <v>653</v>
      </c>
      <c r="B2" s="1005"/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895"/>
    </row>
    <row r="3" spans="1:13" x14ac:dyDescent="0.25">
      <c r="A3" s="1006" t="s">
        <v>36</v>
      </c>
      <c r="B3" s="1006"/>
      <c r="C3" s="1006"/>
      <c r="D3" s="1006"/>
      <c r="E3" s="1006"/>
      <c r="F3" s="1006"/>
      <c r="G3" s="1006"/>
      <c r="H3" s="1006"/>
      <c r="I3" s="1006"/>
      <c r="J3" s="1006"/>
      <c r="K3" s="1006"/>
    </row>
    <row r="4" spans="1:13" x14ac:dyDescent="0.25">
      <c r="A4" s="1006" t="s">
        <v>574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</row>
    <row r="5" spans="1:13" x14ac:dyDescent="0.25">
      <c r="A5" s="1006" t="s">
        <v>654</v>
      </c>
      <c r="B5" s="1006"/>
      <c r="C5" s="1006"/>
      <c r="D5" s="1006"/>
      <c r="E5" s="1006"/>
      <c r="F5" s="1006"/>
      <c r="G5" s="1006"/>
      <c r="H5" s="1006"/>
      <c r="I5" s="1006"/>
      <c r="J5" s="1006"/>
      <c r="K5" s="1006"/>
    </row>
    <row r="6" spans="1:13" x14ac:dyDescent="0.25">
      <c r="G6" s="896" t="s">
        <v>392</v>
      </c>
    </row>
    <row r="7" spans="1:13" x14ac:dyDescent="0.25">
      <c r="A7" s="896" t="s">
        <v>0</v>
      </c>
      <c r="B7" s="896" t="s">
        <v>655</v>
      </c>
      <c r="C7" s="898" t="s">
        <v>656</v>
      </c>
      <c r="D7" s="899" t="s">
        <v>26</v>
      </c>
      <c r="E7" s="896" t="s">
        <v>68</v>
      </c>
      <c r="F7" s="896" t="s">
        <v>657</v>
      </c>
      <c r="G7" s="896" t="s">
        <v>396</v>
      </c>
      <c r="H7" s="896" t="s">
        <v>20</v>
      </c>
      <c r="I7" s="900" t="s">
        <v>30</v>
      </c>
      <c r="J7" s="896" t="s">
        <v>658</v>
      </c>
      <c r="K7" s="896" t="s">
        <v>20</v>
      </c>
      <c r="L7" s="896"/>
    </row>
    <row r="8" spans="1:13" x14ac:dyDescent="0.25">
      <c r="A8" s="901" t="s">
        <v>40</v>
      </c>
      <c r="B8" s="901" t="s">
        <v>4</v>
      </c>
      <c r="C8" s="902" t="s">
        <v>659</v>
      </c>
      <c r="D8" s="903" t="s">
        <v>28</v>
      </c>
      <c r="E8" s="901" t="s">
        <v>48</v>
      </c>
      <c r="F8" s="901" t="s">
        <v>20</v>
      </c>
      <c r="G8" s="901" t="s">
        <v>393</v>
      </c>
      <c r="H8" s="901" t="s">
        <v>5</v>
      </c>
      <c r="I8" s="904" t="s">
        <v>48</v>
      </c>
      <c r="J8" s="901" t="s">
        <v>20</v>
      </c>
      <c r="K8" s="901" t="s">
        <v>147</v>
      </c>
      <c r="L8" s="901"/>
    </row>
    <row r="9" spans="1:13" x14ac:dyDescent="0.25">
      <c r="C9" s="905"/>
      <c r="D9" s="906"/>
      <c r="E9" s="907" t="s">
        <v>660</v>
      </c>
      <c r="F9" s="907" t="s">
        <v>60</v>
      </c>
      <c r="G9" s="907" t="s">
        <v>60</v>
      </c>
      <c r="H9" s="907" t="s">
        <v>60</v>
      </c>
      <c r="I9" s="908" t="s">
        <v>660</v>
      </c>
      <c r="J9" s="907" t="s">
        <v>60</v>
      </c>
      <c r="K9" s="907" t="s">
        <v>60</v>
      </c>
      <c r="L9" s="907"/>
    </row>
    <row r="10" spans="1:13" x14ac:dyDescent="0.25">
      <c r="B10" s="901" t="s">
        <v>661</v>
      </c>
      <c r="C10" s="902"/>
      <c r="D10" s="903"/>
    </row>
    <row r="11" spans="1:13" x14ac:dyDescent="0.25">
      <c r="A11" s="909" t="s">
        <v>75</v>
      </c>
      <c r="B11" s="894" t="s">
        <v>76</v>
      </c>
      <c r="C11" s="910"/>
      <c r="D11" s="906"/>
      <c r="E11" s="911"/>
      <c r="F11" s="912"/>
      <c r="G11" s="912"/>
      <c r="H11" s="912"/>
      <c r="I11" s="913"/>
    </row>
    <row r="12" spans="1:13" x14ac:dyDescent="0.25">
      <c r="A12" s="909"/>
      <c r="B12" s="894" t="s">
        <v>662</v>
      </c>
      <c r="C12" s="910">
        <f>'Sch M 2.2'!Q400</f>
        <v>1180666</v>
      </c>
      <c r="D12" s="915"/>
      <c r="E12" s="938">
        <f>'Sch M 2.2'!D401</f>
        <v>15</v>
      </c>
      <c r="F12" s="917">
        <f>ROUND(C12*E12,2)</f>
        <v>17709990</v>
      </c>
      <c r="G12" s="917"/>
      <c r="H12" s="917">
        <f>F12+G12</f>
        <v>17709990</v>
      </c>
      <c r="I12" s="970">
        <f>'Sch M 2.3'!D398</f>
        <v>16</v>
      </c>
      <c r="J12" s="917">
        <f>ROUND(I12*C12,2)</f>
        <v>18890656</v>
      </c>
      <c r="K12" s="917">
        <f t="shared" ref="K12:K19" si="0">J12-H12</f>
        <v>1180666</v>
      </c>
    </row>
    <row r="13" spans="1:13" x14ac:dyDescent="0.25">
      <c r="A13" s="909"/>
      <c r="B13" s="910" t="s">
        <v>663</v>
      </c>
      <c r="C13" s="910"/>
      <c r="D13" s="915">
        <f>'Sch M 2.2'!Q404</f>
        <v>6248080.5000000009</v>
      </c>
      <c r="E13" s="929">
        <f>'Sch M 2.2'!D405</f>
        <v>2.2665999999999999</v>
      </c>
      <c r="F13" s="917">
        <f>ROUND(D13*E13,2)</f>
        <v>14161899.26</v>
      </c>
      <c r="G13" s="917"/>
      <c r="H13" s="917">
        <f t="shared" ref="H13:H18" si="1">F13+G13</f>
        <v>14161899.26</v>
      </c>
      <c r="I13" s="971">
        <f>'Sch M 2.3'!D402</f>
        <v>3.5926999999999998</v>
      </c>
      <c r="J13" s="917">
        <f>ROUND(I13*D13,2)</f>
        <v>22447478.809999999</v>
      </c>
      <c r="K13" s="917">
        <f t="shared" si="0"/>
        <v>8285579.5499999989</v>
      </c>
    </row>
    <row r="14" spans="1:13" x14ac:dyDescent="0.25">
      <c r="A14" s="909"/>
      <c r="B14" s="910" t="s">
        <v>193</v>
      </c>
      <c r="C14" s="910"/>
      <c r="D14" s="915"/>
      <c r="E14" s="938">
        <f>'Sch M 2.2'!D402</f>
        <v>2.25</v>
      </c>
      <c r="F14" s="917">
        <f>ROUND(C12*E14,2)</f>
        <v>2656498.5</v>
      </c>
      <c r="G14" s="917"/>
      <c r="H14" s="917">
        <f t="shared" si="1"/>
        <v>2656498.5</v>
      </c>
      <c r="I14" s="928">
        <f>'Sch M 2.3'!D399</f>
        <v>0</v>
      </c>
      <c r="J14" s="917">
        <f>ROUND(C12*I14,2)</f>
        <v>0</v>
      </c>
      <c r="K14" s="917">
        <f t="shared" si="0"/>
        <v>-2656498.5</v>
      </c>
    </row>
    <row r="15" spans="1:13" x14ac:dyDescent="0.25">
      <c r="A15" s="909"/>
      <c r="B15" s="910" t="s">
        <v>192</v>
      </c>
      <c r="C15" s="910"/>
      <c r="D15" s="915"/>
      <c r="E15" s="929">
        <f>'Sch M 2.2'!D414</f>
        <v>0.69</v>
      </c>
      <c r="F15" s="917">
        <f>ROUND(C12*E15,2)</f>
        <v>814659.54</v>
      </c>
      <c r="G15" s="917"/>
      <c r="H15" s="917">
        <f t="shared" si="1"/>
        <v>814659.54</v>
      </c>
      <c r="I15" s="920">
        <f>E15</f>
        <v>0.69</v>
      </c>
      <c r="J15" s="917">
        <f>ROUND(C12*I15,2)</f>
        <v>814659.54</v>
      </c>
      <c r="K15" s="917">
        <f t="shared" si="0"/>
        <v>0</v>
      </c>
    </row>
    <row r="16" spans="1:13" x14ac:dyDescent="0.25">
      <c r="A16" s="909"/>
      <c r="B16" s="910" t="s">
        <v>144</v>
      </c>
      <c r="C16" s="910"/>
      <c r="D16" s="915"/>
      <c r="E16" s="920">
        <f>'Sch M 2.2'!D416</f>
        <v>5.9700000000000003E-2</v>
      </c>
      <c r="F16" s="921">
        <f>ROUND(E16*D13,2)</f>
        <v>373010.41</v>
      </c>
      <c r="G16" s="921"/>
      <c r="H16" s="917">
        <f t="shared" si="1"/>
        <v>373010.41</v>
      </c>
      <c r="I16" s="920">
        <f>E16</f>
        <v>5.9700000000000003E-2</v>
      </c>
      <c r="J16" s="917">
        <f>ROUND(I16*D13,2)</f>
        <v>373010.41</v>
      </c>
      <c r="K16" s="917">
        <f t="shared" si="0"/>
        <v>0</v>
      </c>
    </row>
    <row r="17" spans="1:12" x14ac:dyDescent="0.25">
      <c r="A17" s="909"/>
      <c r="B17" s="910" t="s">
        <v>664</v>
      </c>
      <c r="C17" s="910"/>
      <c r="D17" s="915"/>
      <c r="E17" s="920">
        <f>'Sch M 2.2'!D415</f>
        <v>1.6E-2</v>
      </c>
      <c r="F17" s="922">
        <f>ROUND(E17*D13,2)</f>
        <v>99969.29</v>
      </c>
      <c r="G17" s="922">
        <f>'Sch M 2.1'!F19</f>
        <v>62480.81</v>
      </c>
      <c r="H17" s="917">
        <f t="shared" si="1"/>
        <v>162450.09999999998</v>
      </c>
      <c r="I17" s="920">
        <f>'Sch M 2.3'!D412</f>
        <v>2.5999999999999999E-2</v>
      </c>
      <c r="J17" s="922">
        <f>ROUND(I17*D13,2)</f>
        <v>162450.09</v>
      </c>
      <c r="K17" s="917">
        <f t="shared" si="0"/>
        <v>-9.9999999802093953E-3</v>
      </c>
    </row>
    <row r="18" spans="1:12" x14ac:dyDescent="0.25">
      <c r="A18" s="909"/>
      <c r="B18" s="910" t="s">
        <v>665</v>
      </c>
      <c r="C18" s="910"/>
      <c r="D18" s="915"/>
      <c r="E18" s="920">
        <f>'Sch M 2.2'!D409</f>
        <v>2.2090999999999998</v>
      </c>
      <c r="F18" s="923">
        <f>ROUND(D13*E18,2)</f>
        <v>13802634.630000001</v>
      </c>
      <c r="G18" s="923"/>
      <c r="H18" s="924">
        <f t="shared" si="1"/>
        <v>13802634.630000001</v>
      </c>
      <c r="I18" s="920">
        <f>E18</f>
        <v>2.2090999999999998</v>
      </c>
      <c r="J18" s="923">
        <f>ROUND(I18*D13,2)</f>
        <v>13802634.630000001</v>
      </c>
      <c r="K18" s="924">
        <f t="shared" si="0"/>
        <v>0</v>
      </c>
    </row>
    <row r="19" spans="1:12" x14ac:dyDescent="0.25">
      <c r="A19" s="909"/>
      <c r="B19" s="910" t="s">
        <v>9</v>
      </c>
      <c r="C19" s="910"/>
      <c r="D19" s="915"/>
      <c r="E19" s="925"/>
      <c r="F19" s="921">
        <f>SUM(F12:F18)</f>
        <v>49618661.629999995</v>
      </c>
      <c r="G19" s="921"/>
      <c r="H19" s="921">
        <f>SUM(H12:H18)</f>
        <v>49681142.439999998</v>
      </c>
      <c r="I19" s="920"/>
      <c r="J19" s="921">
        <f>SUM(J12:J18)</f>
        <v>56490889.480000004</v>
      </c>
      <c r="K19" s="917">
        <f t="shared" si="0"/>
        <v>6809747.0400000066</v>
      </c>
      <c r="L19" s="926"/>
    </row>
    <row r="20" spans="1:12" x14ac:dyDescent="0.25">
      <c r="A20" s="909"/>
      <c r="B20" s="910"/>
      <c r="C20" s="910"/>
      <c r="D20" s="915"/>
      <c r="E20" s="925"/>
      <c r="F20" s="921"/>
      <c r="G20" s="921"/>
      <c r="H20" s="921"/>
      <c r="I20" s="920"/>
      <c r="J20" s="921"/>
      <c r="K20" s="917"/>
      <c r="L20" s="926"/>
    </row>
    <row r="21" spans="1:12" x14ac:dyDescent="0.25">
      <c r="A21" s="909" t="s">
        <v>77</v>
      </c>
      <c r="B21" s="894" t="s">
        <v>78</v>
      </c>
      <c r="C21" s="910"/>
      <c r="D21" s="915"/>
      <c r="E21" s="911"/>
      <c r="F21" s="912"/>
      <c r="G21" s="912"/>
      <c r="H21" s="912"/>
      <c r="I21" s="913"/>
      <c r="K21" s="927"/>
    </row>
    <row r="22" spans="1:12" x14ac:dyDescent="0.25">
      <c r="A22" s="909"/>
      <c r="B22" s="894" t="s">
        <v>662</v>
      </c>
      <c r="C22" s="910">
        <f>'Sch M 2.2'!Q426</f>
        <v>41</v>
      </c>
      <c r="D22" s="915"/>
      <c r="E22" s="938">
        <f>'Sch M 2.2'!D427</f>
        <v>56.92</v>
      </c>
      <c r="F22" s="917">
        <f>ROUND(E22*C22,2)</f>
        <v>2333.7199999999998</v>
      </c>
      <c r="G22" s="917"/>
      <c r="H22" s="917">
        <f t="shared" ref="H22:H24" si="2">F22+G22</f>
        <v>2333.7199999999998</v>
      </c>
      <c r="I22" s="928">
        <f>E22</f>
        <v>56.92</v>
      </c>
      <c r="J22" s="917">
        <f>ROUND(I22*C22,2)</f>
        <v>2333.7199999999998</v>
      </c>
      <c r="K22" s="917">
        <f>J22-H22</f>
        <v>0</v>
      </c>
    </row>
    <row r="23" spans="1:12" x14ac:dyDescent="0.25">
      <c r="A23" s="909"/>
      <c r="B23" s="910" t="s">
        <v>663</v>
      </c>
      <c r="C23" s="910"/>
      <c r="D23" s="915">
        <f>'Sch M 2.2'!Q429</f>
        <v>1697.8</v>
      </c>
      <c r="E23" s="929">
        <f>'Sch M 2.2'!D430</f>
        <v>2.1558000000000002</v>
      </c>
      <c r="F23" s="917">
        <f>ROUND(E23*D23,2)</f>
        <v>3660.12</v>
      </c>
      <c r="G23" s="917"/>
      <c r="H23" s="917">
        <f t="shared" si="2"/>
        <v>3660.12</v>
      </c>
      <c r="I23" s="920">
        <f>E23</f>
        <v>2.1558000000000002</v>
      </c>
      <c r="J23" s="917">
        <f>ROUND(I23*D23,2)</f>
        <v>3660.12</v>
      </c>
      <c r="K23" s="917">
        <f>J23-H23</f>
        <v>0</v>
      </c>
    </row>
    <row r="24" spans="1:12" x14ac:dyDescent="0.25">
      <c r="A24" s="909"/>
      <c r="B24" s="910" t="s">
        <v>665</v>
      </c>
      <c r="C24" s="910"/>
      <c r="D24" s="915"/>
      <c r="E24" s="920">
        <f>'Sch M 2.2'!D434</f>
        <v>2.2090999999999998</v>
      </c>
      <c r="F24" s="923">
        <f>ROUND(D23*E24,2)</f>
        <v>3750.61</v>
      </c>
      <c r="G24" s="923"/>
      <c r="H24" s="924">
        <f t="shared" si="2"/>
        <v>3750.61</v>
      </c>
      <c r="I24" s="920">
        <f>E24</f>
        <v>2.2090999999999998</v>
      </c>
      <c r="J24" s="923">
        <f>ROUND(I24*D23,2)</f>
        <v>3750.61</v>
      </c>
      <c r="K24" s="924">
        <f>J24-H24</f>
        <v>0</v>
      </c>
    </row>
    <row r="25" spans="1:12" x14ac:dyDescent="0.25">
      <c r="A25" s="909"/>
      <c r="B25" s="910" t="s">
        <v>9</v>
      </c>
      <c r="C25" s="910"/>
      <c r="D25" s="915"/>
      <c r="E25" s="929"/>
      <c r="F25" s="917">
        <f>SUM(F22:F24)</f>
        <v>9744.4500000000007</v>
      </c>
      <c r="G25" s="917"/>
      <c r="H25" s="921">
        <f>SUM(H22:H24)</f>
        <v>9744.4500000000007</v>
      </c>
      <c r="I25" s="930"/>
      <c r="J25" s="917">
        <f>SUM(J22:J24)</f>
        <v>9744.4500000000007</v>
      </c>
      <c r="K25" s="917">
        <f>SUM(K22:K24)</f>
        <v>0</v>
      </c>
      <c r="L25" s="926"/>
    </row>
    <row r="26" spans="1:12" x14ac:dyDescent="0.25">
      <c r="A26" s="909"/>
      <c r="B26" s="910"/>
      <c r="C26" s="910"/>
      <c r="D26" s="915"/>
      <c r="E26" s="929"/>
      <c r="F26" s="917"/>
      <c r="G26" s="917"/>
      <c r="H26" s="921"/>
      <c r="I26" s="930"/>
      <c r="J26" s="917"/>
      <c r="K26" s="917"/>
      <c r="L26" s="926"/>
    </row>
    <row r="27" spans="1:12" x14ac:dyDescent="0.25">
      <c r="A27" s="909" t="s">
        <v>79</v>
      </c>
      <c r="B27" s="894" t="s">
        <v>80</v>
      </c>
      <c r="C27" s="910"/>
      <c r="D27" s="915"/>
      <c r="E27" s="911"/>
    </row>
    <row r="28" spans="1:12" x14ac:dyDescent="0.25">
      <c r="A28" s="909"/>
      <c r="B28" s="894" t="s">
        <v>662</v>
      </c>
      <c r="C28" s="910">
        <f>'Sch M 2.2'!Q460</f>
        <v>192</v>
      </c>
      <c r="D28" s="915"/>
      <c r="E28" s="938">
        <f>'Sch M 2.2'!D461</f>
        <v>17.27</v>
      </c>
      <c r="F28" s="917">
        <f>ROUND(E28*C28,2)</f>
        <v>3315.84</v>
      </c>
      <c r="G28" s="917"/>
      <c r="H28" s="917">
        <f t="shared" ref="H28:H30" si="3">F28+G28</f>
        <v>3315.84</v>
      </c>
      <c r="I28" s="928">
        <f>E28</f>
        <v>17.27</v>
      </c>
      <c r="J28" s="917">
        <f>ROUND(I28*C28,2)</f>
        <v>3315.84</v>
      </c>
      <c r="K28" s="917">
        <f>J28-H28</f>
        <v>0</v>
      </c>
    </row>
    <row r="29" spans="1:12" x14ac:dyDescent="0.25">
      <c r="A29" s="909"/>
      <c r="B29" s="910" t="s">
        <v>663</v>
      </c>
      <c r="C29" s="910"/>
      <c r="D29" s="915">
        <f>'Sch M 2.2'!Q463</f>
        <v>2018.8999999999999</v>
      </c>
      <c r="E29" s="929">
        <f>'Sch M 2.2'!D464</f>
        <v>2.96</v>
      </c>
      <c r="F29" s="917">
        <f>ROUND(E29*D29,2)</f>
        <v>5975.94</v>
      </c>
      <c r="G29" s="917"/>
      <c r="H29" s="917">
        <f t="shared" si="3"/>
        <v>5975.94</v>
      </c>
      <c r="I29" s="920">
        <f>E29</f>
        <v>2.96</v>
      </c>
      <c r="J29" s="917">
        <f>ROUND(I29*D29,2)</f>
        <v>5975.94</v>
      </c>
      <c r="K29" s="917">
        <f>J29-H29</f>
        <v>0</v>
      </c>
    </row>
    <row r="30" spans="1:12" x14ac:dyDescent="0.25">
      <c r="A30" s="909"/>
      <c r="B30" s="910" t="s">
        <v>665</v>
      </c>
      <c r="C30" s="914"/>
      <c r="D30" s="918"/>
      <c r="E30" s="920">
        <f>'Sch M 2.2'!D468</f>
        <v>2.2090999999999998</v>
      </c>
      <c r="F30" s="923">
        <f>ROUND(D29*E30,2)</f>
        <v>4459.95</v>
      </c>
      <c r="G30" s="923"/>
      <c r="H30" s="924">
        <f t="shared" si="3"/>
        <v>4459.95</v>
      </c>
      <c r="I30" s="920">
        <f>E30</f>
        <v>2.2090999999999998</v>
      </c>
      <c r="J30" s="923">
        <f>ROUND(I30*D29,2)</f>
        <v>4459.95</v>
      </c>
      <c r="K30" s="924">
        <f>J30-H30</f>
        <v>0</v>
      </c>
    </row>
    <row r="31" spans="1:12" x14ac:dyDescent="0.25">
      <c r="A31" s="909"/>
      <c r="B31" s="910" t="s">
        <v>9</v>
      </c>
      <c r="C31" s="914"/>
      <c r="D31" s="918"/>
      <c r="E31" s="919"/>
      <c r="F31" s="917">
        <f>SUM(F28:F30)</f>
        <v>13751.73</v>
      </c>
      <c r="G31" s="917"/>
      <c r="H31" s="921">
        <f>SUM(H28:H30)</f>
        <v>13751.73</v>
      </c>
      <c r="I31" s="930"/>
      <c r="J31" s="917">
        <f>SUM(J28:J30)</f>
        <v>13751.73</v>
      </c>
      <c r="K31" s="917">
        <f>SUM(K28:K30)</f>
        <v>0</v>
      </c>
      <c r="L31" s="926"/>
    </row>
    <row r="32" spans="1:12" x14ac:dyDescent="0.25">
      <c r="A32" s="909"/>
      <c r="B32" s="910"/>
      <c r="C32" s="910"/>
      <c r="D32" s="915"/>
      <c r="E32" s="929"/>
      <c r="F32" s="917"/>
      <c r="G32" s="917"/>
      <c r="H32" s="921"/>
      <c r="I32" s="930"/>
      <c r="J32" s="917"/>
      <c r="K32" s="917"/>
      <c r="L32" s="926"/>
    </row>
    <row r="33" spans="1:12" x14ac:dyDescent="0.25">
      <c r="A33" s="909" t="s">
        <v>81</v>
      </c>
      <c r="B33" s="894" t="s">
        <v>82</v>
      </c>
      <c r="C33" s="910"/>
      <c r="D33" s="915"/>
      <c r="E33" s="911"/>
      <c r="I33" s="930"/>
      <c r="J33" s="931"/>
      <c r="K33" s="927"/>
    </row>
    <row r="34" spans="1:12" x14ac:dyDescent="0.25">
      <c r="A34" s="909"/>
      <c r="B34" s="894" t="s">
        <v>662</v>
      </c>
      <c r="C34" s="910">
        <f>'Sch M 2.2'!Q477</f>
        <v>108</v>
      </c>
      <c r="D34" s="915"/>
      <c r="E34" s="938">
        <f>'Sch M 2.2'!D478</f>
        <v>0</v>
      </c>
      <c r="F34" s="917">
        <f>ROUND(E34*C34,2)</f>
        <v>0</v>
      </c>
      <c r="G34" s="917"/>
      <c r="H34" s="917">
        <f t="shared" ref="H34:H35" si="4">F34+G34</f>
        <v>0</v>
      </c>
      <c r="I34" s="928">
        <f>E34</f>
        <v>0</v>
      </c>
      <c r="J34" s="917">
        <f>ROUND(I34*C34,2)</f>
        <v>0</v>
      </c>
      <c r="K34" s="917">
        <f>J34-H34</f>
        <v>0</v>
      </c>
    </row>
    <row r="35" spans="1:12" x14ac:dyDescent="0.25">
      <c r="B35" s="910" t="s">
        <v>663</v>
      </c>
      <c r="C35" s="910"/>
      <c r="D35" s="915">
        <f>'Sch M 2.2'!Q480</f>
        <v>990.2</v>
      </c>
      <c r="E35" s="929">
        <f>'Sch M 2.2'!D481</f>
        <v>0.4</v>
      </c>
      <c r="F35" s="924">
        <f>ROUND(E35*D35,2)</f>
        <v>396.08</v>
      </c>
      <c r="G35" s="924"/>
      <c r="H35" s="924">
        <f t="shared" si="4"/>
        <v>396.08</v>
      </c>
      <c r="I35" s="920">
        <f>E35</f>
        <v>0.4</v>
      </c>
      <c r="J35" s="924">
        <f>ROUND(I35*D35,2)</f>
        <v>396.08</v>
      </c>
      <c r="K35" s="924">
        <f>J35-H35</f>
        <v>0</v>
      </c>
    </row>
    <row r="36" spans="1:12" x14ac:dyDescent="0.25">
      <c r="B36" s="910" t="s">
        <v>9</v>
      </c>
      <c r="C36" s="910"/>
      <c r="D36" s="915"/>
      <c r="E36" s="929"/>
      <c r="F36" s="917">
        <f>SUM(F34:F35)</f>
        <v>396.08</v>
      </c>
      <c r="G36" s="917"/>
      <c r="H36" s="921">
        <f>SUM(H34:H35)</f>
        <v>396.08</v>
      </c>
      <c r="I36" s="930"/>
      <c r="J36" s="917">
        <f>SUM(J34:J35)</f>
        <v>396.08</v>
      </c>
      <c r="K36" s="917">
        <f>SUM(K34:K35)</f>
        <v>0</v>
      </c>
      <c r="L36" s="926"/>
    </row>
    <row r="37" spans="1:12" x14ac:dyDescent="0.25">
      <c r="B37" s="910"/>
      <c r="C37" s="910"/>
      <c r="D37" s="915"/>
      <c r="E37" s="929"/>
      <c r="F37" s="917"/>
      <c r="G37" s="917"/>
      <c r="H37" s="921"/>
      <c r="I37" s="930"/>
      <c r="J37" s="917"/>
      <c r="K37" s="917"/>
      <c r="L37" s="926"/>
    </row>
    <row r="38" spans="1:12" x14ac:dyDescent="0.25">
      <c r="A38" s="909" t="s">
        <v>81</v>
      </c>
      <c r="B38" s="894" t="s">
        <v>83</v>
      </c>
      <c r="C38" s="910"/>
      <c r="D38" s="915"/>
      <c r="E38" s="911"/>
      <c r="F38" s="912"/>
      <c r="G38" s="912"/>
      <c r="H38" s="912"/>
      <c r="I38" s="930"/>
      <c r="J38" s="931"/>
      <c r="K38" s="927"/>
    </row>
    <row r="39" spans="1:12" x14ac:dyDescent="0.25">
      <c r="A39" s="909"/>
      <c r="B39" s="894" t="s">
        <v>662</v>
      </c>
      <c r="C39" s="914">
        <v>0</v>
      </c>
      <c r="D39" s="915"/>
      <c r="E39" s="916">
        <v>0</v>
      </c>
      <c r="F39" s="917">
        <f>ROUND(E39*C39,2)</f>
        <v>0</v>
      </c>
      <c r="G39" s="917"/>
      <c r="H39" s="917">
        <f t="shared" ref="H39:H40" si="5">F39+G39</f>
        <v>0</v>
      </c>
      <c r="I39" s="928">
        <f>E39</f>
        <v>0</v>
      </c>
      <c r="J39" s="917">
        <f>ROUND(I39*C39,2)</f>
        <v>0</v>
      </c>
      <c r="K39" s="917">
        <f>J39-H39</f>
        <v>0</v>
      </c>
    </row>
    <row r="40" spans="1:12" x14ac:dyDescent="0.25">
      <c r="A40" s="909"/>
      <c r="B40" s="910" t="s">
        <v>663</v>
      </c>
      <c r="C40" s="910"/>
      <c r="D40" s="918">
        <v>0</v>
      </c>
      <c r="E40" s="919">
        <v>0</v>
      </c>
      <c r="F40" s="924">
        <f>ROUND(E40*D40,2)</f>
        <v>0</v>
      </c>
      <c r="G40" s="924"/>
      <c r="H40" s="924">
        <f t="shared" si="5"/>
        <v>0</v>
      </c>
      <c r="I40" s="920">
        <f>E40</f>
        <v>0</v>
      </c>
      <c r="J40" s="924">
        <f>ROUND(I40*D40,2)</f>
        <v>0</v>
      </c>
      <c r="K40" s="924">
        <f>J40-H40</f>
        <v>0</v>
      </c>
    </row>
    <row r="41" spans="1:12" x14ac:dyDescent="0.25">
      <c r="A41" s="909"/>
      <c r="B41" s="910" t="s">
        <v>9</v>
      </c>
      <c r="C41" s="910"/>
      <c r="D41" s="915"/>
      <c r="E41" s="929"/>
      <c r="F41" s="917">
        <f>SUM(F39:F40)</f>
        <v>0</v>
      </c>
      <c r="G41" s="917"/>
      <c r="H41" s="921">
        <f>SUM(H39:H40)</f>
        <v>0</v>
      </c>
      <c r="I41" s="930"/>
      <c r="J41" s="917">
        <f>SUM(J39:J40)</f>
        <v>0</v>
      </c>
      <c r="K41" s="917">
        <f>SUM(K39:K40)</f>
        <v>0</v>
      </c>
      <c r="L41" s="926"/>
    </row>
    <row r="42" spans="1:12" x14ac:dyDescent="0.25">
      <c r="A42" s="909"/>
      <c r="B42" s="910"/>
      <c r="C42" s="910"/>
      <c r="D42" s="915"/>
      <c r="E42" s="929"/>
      <c r="F42" s="917"/>
      <c r="G42" s="917"/>
      <c r="H42" s="921"/>
      <c r="I42" s="930"/>
      <c r="J42" s="917"/>
      <c r="K42" s="917"/>
      <c r="L42" s="926"/>
    </row>
    <row r="43" spans="1:12" x14ac:dyDescent="0.25">
      <c r="A43" s="909" t="s">
        <v>84</v>
      </c>
      <c r="B43" s="894" t="s">
        <v>82</v>
      </c>
      <c r="C43" s="910"/>
      <c r="D43" s="915"/>
      <c r="E43" s="911"/>
      <c r="F43" s="912"/>
      <c r="G43" s="912"/>
      <c r="H43" s="912"/>
      <c r="I43" s="930"/>
      <c r="J43" s="931"/>
      <c r="K43" s="927"/>
    </row>
    <row r="44" spans="1:12" x14ac:dyDescent="0.25">
      <c r="A44" s="909"/>
      <c r="B44" s="894" t="s">
        <v>662</v>
      </c>
      <c r="C44" s="910">
        <f>'Sch M 2.2'!Q494</f>
        <v>0</v>
      </c>
      <c r="D44" s="915"/>
      <c r="E44" s="938">
        <f>'Sch M 2.2'!D495</f>
        <v>0</v>
      </c>
      <c r="F44" s="917">
        <f>ROUND(E44*C44,2)</f>
        <v>0</v>
      </c>
      <c r="G44" s="917"/>
      <c r="H44" s="917">
        <f t="shared" ref="H44:H45" si="6">F44+G44</f>
        <v>0</v>
      </c>
      <c r="I44" s="928">
        <f>E44</f>
        <v>0</v>
      </c>
      <c r="J44" s="917">
        <f>ROUND(I44*C44,2)</f>
        <v>0</v>
      </c>
      <c r="K44" s="917">
        <f>J44-H44</f>
        <v>0</v>
      </c>
    </row>
    <row r="45" spans="1:12" x14ac:dyDescent="0.25">
      <c r="A45" s="909"/>
      <c r="B45" s="910" t="s">
        <v>663</v>
      </c>
      <c r="C45" s="914"/>
      <c r="D45" s="915">
        <f>'Sch M 2.2'!Q497</f>
        <v>0</v>
      </c>
      <c r="E45" s="919">
        <v>0</v>
      </c>
      <c r="F45" s="924">
        <f>ROUND(E45*D45,2)</f>
        <v>0</v>
      </c>
      <c r="G45" s="924"/>
      <c r="H45" s="924">
        <f t="shared" si="6"/>
        <v>0</v>
      </c>
      <c r="I45" s="920">
        <f>E45</f>
        <v>0</v>
      </c>
      <c r="J45" s="924">
        <f>ROUND(I45*D45,2)</f>
        <v>0</v>
      </c>
      <c r="K45" s="924">
        <f>J45-H45</f>
        <v>0</v>
      </c>
    </row>
    <row r="46" spans="1:12" x14ac:dyDescent="0.25">
      <c r="A46" s="909"/>
      <c r="B46" s="910" t="s">
        <v>9</v>
      </c>
      <c r="C46" s="910"/>
      <c r="D46" s="915"/>
      <c r="E46" s="929"/>
      <c r="F46" s="917">
        <f>SUM(F44:F45)</f>
        <v>0</v>
      </c>
      <c r="G46" s="917"/>
      <c r="H46" s="921">
        <f>SUM(H44:H45)</f>
        <v>0</v>
      </c>
      <c r="I46" s="930"/>
      <c r="J46" s="917">
        <f>SUM(J44:J45)</f>
        <v>0</v>
      </c>
      <c r="K46" s="917">
        <f>SUM(K44:K45)</f>
        <v>0</v>
      </c>
      <c r="L46" s="926"/>
    </row>
    <row r="47" spans="1:12" x14ac:dyDescent="0.25">
      <c r="A47" s="909"/>
      <c r="B47" s="910"/>
      <c r="C47" s="910"/>
      <c r="D47" s="915"/>
      <c r="E47" s="929"/>
      <c r="F47" s="917"/>
      <c r="G47" s="917"/>
      <c r="H47" s="921"/>
      <c r="I47" s="930"/>
      <c r="J47" s="917"/>
      <c r="K47" s="917"/>
      <c r="L47" s="926"/>
    </row>
    <row r="48" spans="1:12" x14ac:dyDescent="0.25">
      <c r="A48" s="909" t="s">
        <v>85</v>
      </c>
      <c r="B48" s="894" t="s">
        <v>82</v>
      </c>
      <c r="C48" s="910"/>
      <c r="D48" s="915"/>
      <c r="E48" s="911"/>
      <c r="F48" s="912"/>
      <c r="G48" s="912"/>
      <c r="H48" s="912"/>
      <c r="I48" s="930"/>
      <c r="J48" s="931"/>
      <c r="K48" s="927"/>
    </row>
    <row r="49" spans="1:13" x14ac:dyDescent="0.25">
      <c r="A49" s="909"/>
      <c r="B49" s="894" t="s">
        <v>662</v>
      </c>
      <c r="C49" s="910">
        <f>'Sch M 2.2'!Q528</f>
        <v>36</v>
      </c>
      <c r="D49" s="915"/>
      <c r="E49" s="938">
        <f>'Sch M 2.2'!D529</f>
        <v>0</v>
      </c>
      <c r="F49" s="917">
        <f>ROUND(E49*C49,2)</f>
        <v>0</v>
      </c>
      <c r="G49" s="917"/>
      <c r="H49" s="917">
        <f t="shared" ref="H49:H50" si="7">F49+G49</f>
        <v>0</v>
      </c>
      <c r="I49" s="928">
        <f>E49</f>
        <v>0</v>
      </c>
      <c r="J49" s="917">
        <f>ROUND(I49*C49,2)</f>
        <v>0</v>
      </c>
      <c r="K49" s="917">
        <f>J49-H49</f>
        <v>0</v>
      </c>
    </row>
    <row r="50" spans="1:13" x14ac:dyDescent="0.25">
      <c r="B50" s="910" t="s">
        <v>663</v>
      </c>
      <c r="C50" s="910"/>
      <c r="D50" s="915">
        <f>'Sch M 2.2'!Q531</f>
        <v>333.60000000000008</v>
      </c>
      <c r="E50" s="929">
        <f>'Sch M 2.2'!D532</f>
        <v>0.6</v>
      </c>
      <c r="F50" s="924">
        <f>ROUND(E50*D50,2)</f>
        <v>200.16</v>
      </c>
      <c r="G50" s="924"/>
      <c r="H50" s="924">
        <f t="shared" si="7"/>
        <v>200.16</v>
      </c>
      <c r="I50" s="920">
        <f>E50</f>
        <v>0.6</v>
      </c>
      <c r="J50" s="924">
        <f>ROUND(I50*D50,2)</f>
        <v>200.16</v>
      </c>
      <c r="K50" s="924">
        <f>J50-H50</f>
        <v>0</v>
      </c>
    </row>
    <row r="51" spans="1:13" x14ac:dyDescent="0.25">
      <c r="B51" s="910" t="s">
        <v>9</v>
      </c>
      <c r="C51" s="910"/>
      <c r="D51" s="915"/>
      <c r="E51" s="929"/>
      <c r="F51" s="917">
        <f>SUM(F49:F50)</f>
        <v>200.16</v>
      </c>
      <c r="G51" s="917"/>
      <c r="H51" s="921">
        <f>SUM(H49:H50)</f>
        <v>200.16</v>
      </c>
      <c r="I51" s="930"/>
      <c r="J51" s="917">
        <f>SUM(J49:J50)</f>
        <v>200.16</v>
      </c>
      <c r="K51" s="917">
        <f>SUM(K49:K50)</f>
        <v>0</v>
      </c>
      <c r="L51" s="926"/>
    </row>
    <row r="52" spans="1:13" x14ac:dyDescent="0.25">
      <c r="B52" s="910"/>
      <c r="C52" s="910"/>
      <c r="D52" s="915"/>
      <c r="E52" s="929"/>
      <c r="F52" s="917"/>
      <c r="G52" s="917"/>
      <c r="H52" s="921"/>
      <c r="I52" s="930"/>
      <c r="J52" s="917"/>
      <c r="K52" s="917"/>
      <c r="L52" s="926"/>
    </row>
    <row r="53" spans="1:13" x14ac:dyDescent="0.25">
      <c r="A53" s="1005" t="str">
        <f>$A$1</f>
        <v>PSC Case No. 2016-00162</v>
      </c>
      <c r="B53" s="1005"/>
      <c r="C53" s="1005"/>
      <c r="D53" s="1005"/>
      <c r="E53" s="1005"/>
      <c r="F53" s="1005"/>
      <c r="G53" s="1005"/>
      <c r="H53" s="1005"/>
      <c r="I53" s="1005"/>
      <c r="J53" s="1005"/>
      <c r="K53" s="1005"/>
      <c r="L53" s="1005"/>
    </row>
    <row r="54" spans="1:13" x14ac:dyDescent="0.25">
      <c r="A54" s="1005" t="s">
        <v>666</v>
      </c>
      <c r="B54" s="1005"/>
      <c r="C54" s="1005"/>
      <c r="D54" s="1005"/>
      <c r="E54" s="1005"/>
      <c r="F54" s="1005"/>
      <c r="G54" s="1005"/>
      <c r="H54" s="1005"/>
      <c r="I54" s="1005"/>
      <c r="J54" s="1005"/>
      <c r="K54" s="1005"/>
      <c r="L54" s="1005"/>
      <c r="M54" s="895"/>
    </row>
    <row r="55" spans="1:13" x14ac:dyDescent="0.25">
      <c r="A55" s="1006" t="s">
        <v>36</v>
      </c>
      <c r="B55" s="1006"/>
      <c r="C55" s="1006"/>
      <c r="D55" s="1006"/>
      <c r="E55" s="1006"/>
      <c r="F55" s="1006"/>
      <c r="G55" s="1006"/>
      <c r="H55" s="1006"/>
      <c r="I55" s="1006"/>
      <c r="J55" s="1006"/>
      <c r="K55" s="1006"/>
    </row>
    <row r="56" spans="1:13" x14ac:dyDescent="0.25">
      <c r="A56" s="1006" t="str">
        <f>A4</f>
        <v>Case No. 2016-00162</v>
      </c>
      <c r="B56" s="1006"/>
      <c r="C56" s="1006"/>
      <c r="D56" s="1006"/>
      <c r="E56" s="1006"/>
      <c r="F56" s="1006"/>
      <c r="G56" s="1006"/>
      <c r="H56" s="1006"/>
      <c r="I56" s="1006"/>
      <c r="J56" s="1006"/>
      <c r="K56" s="1006"/>
    </row>
    <row r="57" spans="1:13" x14ac:dyDescent="0.25">
      <c r="A57" s="1006" t="s">
        <v>654</v>
      </c>
      <c r="B57" s="1006"/>
      <c r="C57" s="1006"/>
      <c r="D57" s="1006"/>
      <c r="E57" s="1006"/>
      <c r="F57" s="1006"/>
      <c r="G57" s="1006"/>
      <c r="H57" s="1006"/>
      <c r="I57" s="1006"/>
      <c r="J57" s="1006"/>
      <c r="K57" s="1006"/>
    </row>
    <row r="58" spans="1:13" x14ac:dyDescent="0.25">
      <c r="G58" s="896" t="s">
        <v>392</v>
      </c>
    </row>
    <row r="59" spans="1:13" x14ac:dyDescent="0.25">
      <c r="A59" s="896" t="s">
        <v>0</v>
      </c>
      <c r="B59" s="896" t="s">
        <v>655</v>
      </c>
      <c r="C59" s="898" t="s">
        <v>656</v>
      </c>
      <c r="D59" s="899" t="s">
        <v>26</v>
      </c>
      <c r="E59" s="896" t="s">
        <v>68</v>
      </c>
      <c r="F59" s="896" t="s">
        <v>657</v>
      </c>
      <c r="G59" s="896" t="s">
        <v>396</v>
      </c>
      <c r="H59" s="896" t="s">
        <v>20</v>
      </c>
      <c r="I59" s="900" t="s">
        <v>30</v>
      </c>
      <c r="J59" s="896" t="s">
        <v>658</v>
      </c>
      <c r="K59" s="896" t="s">
        <v>20</v>
      </c>
      <c r="L59" s="896"/>
    </row>
    <row r="60" spans="1:13" x14ac:dyDescent="0.25">
      <c r="A60" s="901" t="s">
        <v>40</v>
      </c>
      <c r="B60" s="901" t="s">
        <v>4</v>
      </c>
      <c r="C60" s="902" t="s">
        <v>659</v>
      </c>
      <c r="D60" s="903" t="s">
        <v>28</v>
      </c>
      <c r="E60" s="901" t="s">
        <v>48</v>
      </c>
      <c r="F60" s="901" t="s">
        <v>20</v>
      </c>
      <c r="G60" s="901" t="s">
        <v>393</v>
      </c>
      <c r="H60" s="901" t="s">
        <v>5</v>
      </c>
      <c r="I60" s="904" t="s">
        <v>48</v>
      </c>
      <c r="J60" s="901" t="s">
        <v>20</v>
      </c>
      <c r="K60" s="901" t="s">
        <v>147</v>
      </c>
      <c r="L60" s="901"/>
    </row>
    <row r="61" spans="1:13" x14ac:dyDescent="0.25">
      <c r="C61" s="905"/>
      <c r="D61" s="906"/>
      <c r="E61" s="907" t="s">
        <v>660</v>
      </c>
      <c r="F61" s="907" t="s">
        <v>60</v>
      </c>
      <c r="G61" s="907" t="s">
        <v>60</v>
      </c>
      <c r="H61" s="907" t="s">
        <v>60</v>
      </c>
      <c r="I61" s="908" t="s">
        <v>660</v>
      </c>
      <c r="J61" s="907" t="s">
        <v>60</v>
      </c>
      <c r="K61" s="907" t="s">
        <v>60</v>
      </c>
      <c r="L61" s="907"/>
    </row>
    <row r="62" spans="1:13" x14ac:dyDescent="0.25">
      <c r="B62" s="901" t="s">
        <v>661</v>
      </c>
      <c r="C62" s="910"/>
      <c r="D62" s="915"/>
      <c r="E62" s="929"/>
      <c r="F62" s="917"/>
      <c r="G62" s="917"/>
      <c r="H62" s="917"/>
      <c r="I62" s="930"/>
      <c r="J62" s="917"/>
      <c r="K62" s="917"/>
      <c r="L62" s="926"/>
    </row>
    <row r="63" spans="1:13" x14ac:dyDescent="0.25">
      <c r="A63" s="909" t="s">
        <v>86</v>
      </c>
      <c r="B63" s="894" t="s">
        <v>87</v>
      </c>
      <c r="C63" s="910"/>
      <c r="D63" s="915"/>
      <c r="E63" s="911"/>
      <c r="F63" s="912"/>
      <c r="G63" s="912"/>
      <c r="H63" s="912"/>
      <c r="I63" s="930"/>
      <c r="J63" s="931"/>
      <c r="K63" s="927"/>
    </row>
    <row r="64" spans="1:13" x14ac:dyDescent="0.25">
      <c r="A64" s="909"/>
      <c r="B64" s="894" t="s">
        <v>662</v>
      </c>
      <c r="C64" s="910">
        <f>'Sch M 2.2'!Q545</f>
        <v>12</v>
      </c>
      <c r="D64" s="918"/>
      <c r="E64" s="938">
        <f>'Sch M 2.2'!D546</f>
        <v>0</v>
      </c>
      <c r="F64" s="917">
        <f>ROUND(E64*C64,2)</f>
        <v>0</v>
      </c>
      <c r="G64" s="917"/>
      <c r="H64" s="917">
        <f t="shared" ref="H64:H65" si="8">F64+G64</f>
        <v>0</v>
      </c>
      <c r="I64" s="928">
        <f>E64</f>
        <v>0</v>
      </c>
      <c r="J64" s="917">
        <f>ROUND(I64*C64,2)</f>
        <v>0</v>
      </c>
      <c r="K64" s="917">
        <f>J64-H64</f>
        <v>0</v>
      </c>
    </row>
    <row r="65" spans="1:12" x14ac:dyDescent="0.25">
      <c r="A65" s="909"/>
      <c r="B65" s="910" t="s">
        <v>663</v>
      </c>
      <c r="C65" s="914"/>
      <c r="D65" s="915">
        <f>'Sch M 2.2'!Q548</f>
        <v>605.19999999999993</v>
      </c>
      <c r="E65" s="929">
        <f>'Sch M 2.2'!D549</f>
        <v>0.35</v>
      </c>
      <c r="F65" s="924">
        <f>ROUND(E65*D65,2)</f>
        <v>211.82</v>
      </c>
      <c r="G65" s="924"/>
      <c r="H65" s="924">
        <f t="shared" si="8"/>
        <v>211.82</v>
      </c>
      <c r="I65" s="920">
        <f>E65</f>
        <v>0.35</v>
      </c>
      <c r="J65" s="924">
        <f>ROUND(I65*D65,2)</f>
        <v>211.82</v>
      </c>
      <c r="K65" s="924">
        <f>J65-H65</f>
        <v>0</v>
      </c>
    </row>
    <row r="66" spans="1:12" x14ac:dyDescent="0.25">
      <c r="A66" s="909"/>
      <c r="B66" s="910" t="s">
        <v>9</v>
      </c>
      <c r="C66" s="910"/>
      <c r="D66" s="915"/>
      <c r="E66" s="929"/>
      <c r="F66" s="917">
        <f>SUM(F64:F65)</f>
        <v>211.82</v>
      </c>
      <c r="G66" s="917"/>
      <c r="H66" s="921">
        <f>SUM(H64:H65)</f>
        <v>211.82</v>
      </c>
      <c r="I66" s="930"/>
      <c r="J66" s="917">
        <f>SUM(J64:J65)</f>
        <v>211.82</v>
      </c>
      <c r="K66" s="917">
        <f>SUM(K64:K65)</f>
        <v>0</v>
      </c>
      <c r="L66" s="926"/>
    </row>
    <row r="67" spans="1:12" x14ac:dyDescent="0.25">
      <c r="A67" s="909"/>
      <c r="B67" s="910"/>
      <c r="C67" s="910"/>
      <c r="D67" s="915"/>
      <c r="E67" s="929"/>
      <c r="F67" s="917"/>
      <c r="G67" s="917"/>
      <c r="H67" s="921"/>
      <c r="I67" s="930"/>
      <c r="J67" s="917"/>
      <c r="K67" s="917"/>
      <c r="L67" s="926"/>
    </row>
    <row r="68" spans="1:12" x14ac:dyDescent="0.25">
      <c r="A68" s="909" t="s">
        <v>86</v>
      </c>
      <c r="B68" s="894" t="s">
        <v>78</v>
      </c>
      <c r="C68" s="910"/>
      <c r="D68" s="915"/>
      <c r="F68" s="912"/>
      <c r="G68" s="912"/>
      <c r="H68" s="912"/>
      <c r="I68" s="930"/>
      <c r="J68" s="931"/>
      <c r="K68" s="927"/>
    </row>
    <row r="69" spans="1:12" x14ac:dyDescent="0.25">
      <c r="A69" s="909"/>
      <c r="B69" s="894" t="s">
        <v>662</v>
      </c>
      <c r="C69" s="910">
        <f>'Sch M 2.2'!Q562</f>
        <v>12</v>
      </c>
      <c r="D69" s="918"/>
      <c r="E69" s="938">
        <f>'Sch M 2.2'!D563</f>
        <v>0</v>
      </c>
      <c r="F69" s="917">
        <f>ROUND(E69*C69,2)</f>
        <v>0</v>
      </c>
      <c r="G69" s="917"/>
      <c r="H69" s="917">
        <f t="shared" ref="H69:H70" si="9">F69+G69</f>
        <v>0</v>
      </c>
      <c r="I69" s="928">
        <f>E69</f>
        <v>0</v>
      </c>
      <c r="J69" s="917">
        <f>ROUND(I69*C69,2)</f>
        <v>0</v>
      </c>
      <c r="K69" s="917">
        <f>J69-H69</f>
        <v>0</v>
      </c>
    </row>
    <row r="70" spans="1:12" x14ac:dyDescent="0.25">
      <c r="A70" s="909"/>
      <c r="B70" s="910" t="s">
        <v>663</v>
      </c>
      <c r="C70" s="914"/>
      <c r="D70" s="915">
        <f>'Sch M 2.2'!Q565</f>
        <v>710.9</v>
      </c>
      <c r="E70" s="929">
        <f>'Sch M 2.2'!D566</f>
        <v>0.35</v>
      </c>
      <c r="F70" s="924">
        <f>ROUND(E70*D70,2)</f>
        <v>248.82</v>
      </c>
      <c r="G70" s="924"/>
      <c r="H70" s="924">
        <f t="shared" si="9"/>
        <v>248.82</v>
      </c>
      <c r="I70" s="920">
        <f>E70</f>
        <v>0.35</v>
      </c>
      <c r="J70" s="924">
        <f>ROUND(I70*D70,2)</f>
        <v>248.82</v>
      </c>
      <c r="K70" s="924">
        <f>J70-H70</f>
        <v>0</v>
      </c>
    </row>
    <row r="71" spans="1:12" x14ac:dyDescent="0.25">
      <c r="A71" s="909"/>
      <c r="B71" s="910" t="s">
        <v>9</v>
      </c>
      <c r="C71" s="914"/>
      <c r="D71" s="918"/>
      <c r="E71" s="919"/>
      <c r="F71" s="917">
        <f>SUM(F69:F70)</f>
        <v>248.82</v>
      </c>
      <c r="G71" s="917"/>
      <c r="H71" s="921">
        <f>SUM(H69:H70)</f>
        <v>248.82</v>
      </c>
      <c r="I71" s="930"/>
      <c r="J71" s="917">
        <f>SUM(J69:J70)</f>
        <v>248.82</v>
      </c>
      <c r="K71" s="917">
        <f>SUM(K69:K70)</f>
        <v>0</v>
      </c>
      <c r="L71" s="926"/>
    </row>
    <row r="72" spans="1:12" x14ac:dyDescent="0.25">
      <c r="A72" s="909"/>
      <c r="B72" s="910"/>
      <c r="C72" s="910"/>
      <c r="D72" s="915"/>
      <c r="E72" s="929"/>
      <c r="F72" s="917"/>
      <c r="G72" s="917"/>
      <c r="H72" s="921"/>
      <c r="I72" s="930"/>
      <c r="J72" s="917"/>
      <c r="K72" s="917"/>
      <c r="L72" s="926"/>
    </row>
    <row r="73" spans="1:12" x14ac:dyDescent="0.25">
      <c r="A73" s="909" t="s">
        <v>88</v>
      </c>
      <c r="B73" s="894" t="s">
        <v>80</v>
      </c>
      <c r="C73" s="910"/>
      <c r="D73" s="915"/>
      <c r="F73" s="912"/>
      <c r="G73" s="912"/>
      <c r="H73" s="912"/>
      <c r="I73" s="930"/>
      <c r="J73" s="931"/>
      <c r="K73" s="927"/>
    </row>
    <row r="74" spans="1:12" x14ac:dyDescent="0.25">
      <c r="B74" s="894" t="s">
        <v>662</v>
      </c>
      <c r="C74" s="910">
        <f>'Sch M 2.2'!Q595</f>
        <v>12</v>
      </c>
      <c r="D74" s="918"/>
      <c r="E74" s="938">
        <f>'Sch M 2.2'!D596</f>
        <v>1.2</v>
      </c>
      <c r="F74" s="917">
        <f>ROUND(E74*C74,2)</f>
        <v>14.4</v>
      </c>
      <c r="G74" s="917"/>
      <c r="H74" s="917">
        <f t="shared" ref="H74:H76" si="10">F74+G74</f>
        <v>14.4</v>
      </c>
      <c r="I74" s="928">
        <f>E74</f>
        <v>1.2</v>
      </c>
      <c r="J74" s="917">
        <f>ROUND(I74*C74,2)</f>
        <v>14.4</v>
      </c>
      <c r="K74" s="917">
        <f>J74-H74</f>
        <v>0</v>
      </c>
    </row>
    <row r="75" spans="1:12" x14ac:dyDescent="0.25">
      <c r="B75" s="894" t="s">
        <v>667</v>
      </c>
      <c r="C75" s="914"/>
      <c r="D75" s="915">
        <f>'Sch M 2.2'!Q599</f>
        <v>24.4</v>
      </c>
      <c r="E75" s="929">
        <f>'Sch M 2.2'!D603</f>
        <v>0</v>
      </c>
      <c r="F75" s="917">
        <f>ROUND(E75*D75,2)</f>
        <v>0</v>
      </c>
      <c r="G75" s="917"/>
      <c r="H75" s="917">
        <f t="shared" si="10"/>
        <v>0</v>
      </c>
      <c r="I75" s="920">
        <f>E75</f>
        <v>0</v>
      </c>
      <c r="J75" s="917">
        <f>ROUND(I75*E75,2)</f>
        <v>0</v>
      </c>
      <c r="K75" s="917">
        <f>J75-H75</f>
        <v>0</v>
      </c>
    </row>
    <row r="76" spans="1:12" x14ac:dyDescent="0.25">
      <c r="B76" s="894" t="s">
        <v>668</v>
      </c>
      <c r="C76" s="914"/>
      <c r="D76" s="939">
        <f>'Sch M 2.2'!Q600</f>
        <v>689.7</v>
      </c>
      <c r="E76" s="929">
        <f>'Sch M 2.2'!D604</f>
        <v>0.35</v>
      </c>
      <c r="F76" s="924">
        <f>ROUND(E76*D76,2)</f>
        <v>241.4</v>
      </c>
      <c r="G76" s="924"/>
      <c r="H76" s="924">
        <f t="shared" si="10"/>
        <v>241.4</v>
      </c>
      <c r="I76" s="920">
        <f>E76</f>
        <v>0.35</v>
      </c>
      <c r="J76" s="924">
        <f>ROUND(I76*D76,2)</f>
        <v>241.4</v>
      </c>
      <c r="K76" s="924">
        <f>J76-H76</f>
        <v>0</v>
      </c>
      <c r="L76" s="926"/>
    </row>
    <row r="77" spans="1:12" x14ac:dyDescent="0.25">
      <c r="B77" s="894" t="s">
        <v>9</v>
      </c>
      <c r="C77" s="910"/>
      <c r="D77" s="915">
        <f>SUM(D75:D76)</f>
        <v>714.1</v>
      </c>
      <c r="E77" s="929"/>
      <c r="F77" s="917">
        <f>SUM(F74:F76)</f>
        <v>255.8</v>
      </c>
      <c r="G77" s="917"/>
      <c r="H77" s="921">
        <f>SUM(H74:H76)</f>
        <v>255.8</v>
      </c>
      <c r="I77" s="930"/>
      <c r="J77" s="917">
        <f>SUM(J74:J76)</f>
        <v>255.8</v>
      </c>
      <c r="K77" s="917">
        <f>SUM(K74:K76)</f>
        <v>0</v>
      </c>
      <c r="L77" s="926"/>
    </row>
    <row r="78" spans="1:12" x14ac:dyDescent="0.25">
      <c r="C78" s="910"/>
      <c r="D78" s="915"/>
      <c r="E78" s="929"/>
      <c r="F78" s="917"/>
      <c r="G78" s="917"/>
      <c r="H78" s="921"/>
      <c r="I78" s="930"/>
      <c r="J78" s="917"/>
      <c r="K78" s="917"/>
      <c r="L78" s="926"/>
    </row>
    <row r="79" spans="1:12" x14ac:dyDescent="0.25">
      <c r="A79" s="909" t="s">
        <v>89</v>
      </c>
      <c r="B79" s="894" t="s">
        <v>80</v>
      </c>
      <c r="C79" s="905"/>
      <c r="D79" s="915"/>
      <c r="F79" s="912"/>
      <c r="G79" s="912"/>
      <c r="H79" s="912"/>
      <c r="I79" s="930"/>
      <c r="J79" s="931"/>
      <c r="K79" s="927"/>
    </row>
    <row r="80" spans="1:12" x14ac:dyDescent="0.25">
      <c r="A80" s="909"/>
      <c r="B80" s="894" t="s">
        <v>662</v>
      </c>
      <c r="C80" s="910">
        <f>'Sch M 2.2'!Q618</f>
        <v>12</v>
      </c>
      <c r="D80" s="918"/>
      <c r="E80" s="938">
        <f>'Sch M 2.2'!D619</f>
        <v>0</v>
      </c>
      <c r="F80" s="917">
        <f>ROUND(E80*C80,2)</f>
        <v>0</v>
      </c>
      <c r="G80" s="917"/>
      <c r="H80" s="917">
        <f t="shared" ref="H80:H81" si="11">F80+G80</f>
        <v>0</v>
      </c>
      <c r="I80" s="928">
        <f>E80</f>
        <v>0</v>
      </c>
      <c r="J80" s="917">
        <f>ROUND(I80*C80,2)</f>
        <v>0</v>
      </c>
      <c r="K80" s="917">
        <f>J80-H80</f>
        <v>0</v>
      </c>
    </row>
    <row r="81" spans="1:12" x14ac:dyDescent="0.25">
      <c r="A81" s="909"/>
      <c r="B81" s="910" t="s">
        <v>663</v>
      </c>
      <c r="C81" s="933"/>
      <c r="D81" s="915">
        <f>'Sch M 2.2'!Q621</f>
        <v>257.59999999999997</v>
      </c>
      <c r="E81" s="929">
        <f>'Sch M 2.2'!D622</f>
        <v>0.4</v>
      </c>
      <c r="F81" s="924">
        <f>ROUND(E81*D81,2)</f>
        <v>103.04</v>
      </c>
      <c r="G81" s="924"/>
      <c r="H81" s="924">
        <f t="shared" si="11"/>
        <v>103.04</v>
      </c>
      <c r="I81" s="920">
        <f>E81</f>
        <v>0.4</v>
      </c>
      <c r="J81" s="924">
        <f>ROUND(I81*D81,2)</f>
        <v>103.04</v>
      </c>
      <c r="K81" s="924">
        <f>J81-H81</f>
        <v>0</v>
      </c>
    </row>
    <row r="82" spans="1:12" x14ac:dyDescent="0.25">
      <c r="A82" s="909"/>
      <c r="B82" s="910" t="s">
        <v>9</v>
      </c>
      <c r="C82" s="905"/>
      <c r="D82" s="906"/>
      <c r="E82" s="911"/>
      <c r="F82" s="917">
        <f>SUM(F80:F81)</f>
        <v>103.04</v>
      </c>
      <c r="G82" s="917"/>
      <c r="H82" s="921">
        <f>SUM(H80:H81)</f>
        <v>103.04</v>
      </c>
      <c r="I82" s="930"/>
      <c r="J82" s="917">
        <f>SUM(J80:J81)</f>
        <v>103.04</v>
      </c>
      <c r="K82" s="917">
        <f>SUM(K80:K81)</f>
        <v>0</v>
      </c>
      <c r="L82" s="926"/>
    </row>
    <row r="83" spans="1:12" x14ac:dyDescent="0.25">
      <c r="A83" s="909"/>
      <c r="B83" s="910"/>
      <c r="C83" s="905"/>
      <c r="D83" s="906"/>
      <c r="E83" s="911"/>
      <c r="F83" s="917"/>
      <c r="G83" s="917"/>
      <c r="H83" s="921"/>
      <c r="I83" s="930"/>
      <c r="J83" s="917"/>
      <c r="K83" s="917"/>
      <c r="L83" s="926"/>
    </row>
    <row r="84" spans="1:12" x14ac:dyDescent="0.25">
      <c r="A84" s="909" t="s">
        <v>74</v>
      </c>
      <c r="B84" s="894" t="s">
        <v>90</v>
      </c>
      <c r="C84" s="905"/>
      <c r="D84" s="906"/>
      <c r="E84" s="911"/>
      <c r="F84" s="912"/>
      <c r="G84" s="912"/>
      <c r="H84" s="912"/>
      <c r="I84" s="930"/>
      <c r="J84" s="931"/>
      <c r="K84" s="927"/>
    </row>
    <row r="85" spans="1:12" x14ac:dyDescent="0.25">
      <c r="A85" s="909"/>
      <c r="B85" s="894" t="s">
        <v>662</v>
      </c>
      <c r="C85" s="910">
        <f>'Sch M 2.2'!Q651</f>
        <v>119233</v>
      </c>
      <c r="D85" s="934"/>
      <c r="E85" s="938">
        <f>'Sch M 2.2'!D652</f>
        <v>37.5</v>
      </c>
      <c r="F85" s="917">
        <f>ROUND(E85*C85,2)</f>
        <v>4471237.5</v>
      </c>
      <c r="G85" s="917"/>
      <c r="H85" s="917">
        <f>F85+G85</f>
        <v>4471237.5</v>
      </c>
      <c r="I85" s="970">
        <f>'Sch M 2.3'!D649</f>
        <v>44.69</v>
      </c>
      <c r="J85" s="921">
        <f>ROUND(I85*C85,2)</f>
        <v>5328522.7699999996</v>
      </c>
      <c r="K85" s="917">
        <f t="shared" ref="K85:K93" si="12">J85-H85</f>
        <v>857285.26999999955</v>
      </c>
    </row>
    <row r="86" spans="1:12" x14ac:dyDescent="0.25">
      <c r="A86" s="909"/>
      <c r="B86" s="935" t="s">
        <v>669</v>
      </c>
      <c r="C86" s="933"/>
      <c r="D86" s="915">
        <f>'Sch M 2.2'!Q656</f>
        <v>1502815.4000000001</v>
      </c>
      <c r="E86" s="929">
        <f>'Sch M 2.2'!D662</f>
        <v>2.2665999999999999</v>
      </c>
      <c r="F86" s="917">
        <f>ROUND(E86*D86,2)</f>
        <v>3406281.39</v>
      </c>
      <c r="G86" s="917"/>
      <c r="H86" s="917">
        <f t="shared" ref="H86:H92" si="13">F86+G86</f>
        <v>3406281.39</v>
      </c>
      <c r="I86" s="971">
        <f>'Sch M 2.3'!D659</f>
        <v>3.0331999999999999</v>
      </c>
      <c r="J86" s="921">
        <f>ROUND(I86*D86,2)</f>
        <v>4558339.67</v>
      </c>
      <c r="K86" s="917">
        <f t="shared" si="12"/>
        <v>1152058.2799999998</v>
      </c>
    </row>
    <row r="87" spans="1:12" x14ac:dyDescent="0.25">
      <c r="A87" s="909"/>
      <c r="B87" s="935" t="s">
        <v>670</v>
      </c>
      <c r="C87" s="933"/>
      <c r="D87" s="915">
        <f>'Sch M 2.2'!Q657</f>
        <v>1239119</v>
      </c>
      <c r="E87" s="929">
        <f>'Sch M 2.2'!D663</f>
        <v>1.752</v>
      </c>
      <c r="F87" s="917">
        <f>ROUND(E87*D87,2)</f>
        <v>2170936.4900000002</v>
      </c>
      <c r="G87" s="917"/>
      <c r="H87" s="917">
        <f t="shared" si="13"/>
        <v>2170936.4900000002</v>
      </c>
      <c r="I87" s="971">
        <f>'Sch M 2.3'!D660</f>
        <v>2.3445999999999998</v>
      </c>
      <c r="J87" s="921">
        <f>ROUND(I87*D87,2)</f>
        <v>2905238.41</v>
      </c>
      <c r="K87" s="917">
        <f t="shared" si="12"/>
        <v>734301.91999999993</v>
      </c>
    </row>
    <row r="88" spans="1:12" x14ac:dyDescent="0.25">
      <c r="A88" s="909"/>
      <c r="B88" s="935" t="s">
        <v>671</v>
      </c>
      <c r="C88" s="933"/>
      <c r="D88" s="915">
        <f>'Sch M 2.2'!Q658</f>
        <v>271140.70000000007</v>
      </c>
      <c r="E88" s="929">
        <f>'Sch M 2.2'!D664</f>
        <v>1.6658999999999999</v>
      </c>
      <c r="F88" s="917">
        <f>ROUND(E88*D88,2)</f>
        <v>451693.29</v>
      </c>
      <c r="G88" s="917"/>
      <c r="H88" s="917">
        <f t="shared" si="13"/>
        <v>451693.29</v>
      </c>
      <c r="I88" s="971">
        <f>'Sch M 2.3'!D661</f>
        <v>2.2294</v>
      </c>
      <c r="J88" s="921">
        <f>ROUND(I88*D88,2)</f>
        <v>604481.07999999996</v>
      </c>
      <c r="K88" s="917">
        <f t="shared" si="12"/>
        <v>152787.78999999998</v>
      </c>
    </row>
    <row r="89" spans="1:12" x14ac:dyDescent="0.25">
      <c r="A89" s="909"/>
      <c r="B89" s="894" t="s">
        <v>672</v>
      </c>
      <c r="C89" s="933"/>
      <c r="D89" s="915">
        <f>'Sch M 2.2'!Q659</f>
        <v>85140</v>
      </c>
      <c r="E89" s="929">
        <f>'Sch M 2.2'!D665</f>
        <v>1.5164</v>
      </c>
      <c r="F89" s="917">
        <f>ROUND(E89*D89,2)</f>
        <v>129106.3</v>
      </c>
      <c r="G89" s="917"/>
      <c r="H89" s="917">
        <f t="shared" si="13"/>
        <v>129106.3</v>
      </c>
      <c r="I89" s="971">
        <f>'Sch M 2.3'!D662</f>
        <v>2.0294000000000003</v>
      </c>
      <c r="J89" s="921">
        <f>ROUND(I89*D89,2)</f>
        <v>172783.12</v>
      </c>
      <c r="K89" s="917">
        <f t="shared" si="12"/>
        <v>43676.819999999992</v>
      </c>
    </row>
    <row r="90" spans="1:12" x14ac:dyDescent="0.25">
      <c r="A90" s="909"/>
      <c r="B90" s="894" t="s">
        <v>193</v>
      </c>
      <c r="C90" s="905"/>
      <c r="D90" s="915"/>
      <c r="E90" s="938">
        <f>'Sch M 2.2'!D653</f>
        <v>8.02</v>
      </c>
      <c r="F90" s="917">
        <f>ROUND(C85*E90,2)</f>
        <v>956248.66</v>
      </c>
      <c r="G90" s="917"/>
      <c r="H90" s="917">
        <f t="shared" si="13"/>
        <v>956248.66</v>
      </c>
      <c r="I90" s="928">
        <f>'Sch M 2.3'!D650</f>
        <v>0</v>
      </c>
      <c r="J90" s="921">
        <f>ROUND(C85*I90,2)</f>
        <v>0</v>
      </c>
      <c r="K90" s="917">
        <f t="shared" si="12"/>
        <v>-956248.66</v>
      </c>
    </row>
    <row r="91" spans="1:12" x14ac:dyDescent="0.25">
      <c r="A91" s="909"/>
      <c r="B91" s="910" t="s">
        <v>664</v>
      </c>
      <c r="C91" s="910"/>
      <c r="D91" s="915"/>
      <c r="E91" s="920">
        <f>'Sch M 2.2'!D675</f>
        <v>1.6E-2</v>
      </c>
      <c r="F91" s="922">
        <f>ROUND(E91*SUM(D86:D89),2)</f>
        <v>49571.44</v>
      </c>
      <c r="G91" s="922">
        <f>'Sch M 2.1'!F29</f>
        <v>30982.15</v>
      </c>
      <c r="H91" s="917">
        <f t="shared" si="13"/>
        <v>80553.59</v>
      </c>
      <c r="I91" s="920">
        <f>'Sch M 2.3'!D672</f>
        <v>2.5999999999999999E-2</v>
      </c>
      <c r="J91" s="936">
        <f>ROUND(I91*SUM(D86:D89),2)</f>
        <v>80553.59</v>
      </c>
      <c r="K91" s="917">
        <f t="shared" si="12"/>
        <v>0</v>
      </c>
    </row>
    <row r="92" spans="1:12" x14ac:dyDescent="0.25">
      <c r="A92" s="909"/>
      <c r="B92" s="910" t="s">
        <v>665</v>
      </c>
      <c r="C92" s="910"/>
      <c r="D92" s="915"/>
      <c r="E92" s="920">
        <f>'Sch M 2.2'!D670</f>
        <v>2.2090999999999998</v>
      </c>
      <c r="F92" s="923">
        <f>ROUND(SUM(D86:D89)*E92,2)</f>
        <v>6844266.9800000004</v>
      </c>
      <c r="G92" s="923"/>
      <c r="H92" s="924">
        <f t="shared" si="13"/>
        <v>6844266.9800000004</v>
      </c>
      <c r="I92" s="920">
        <f>E92</f>
        <v>2.2090999999999998</v>
      </c>
      <c r="J92" s="937">
        <f>ROUND(SUM(D86:D89)*I92,2)</f>
        <v>6844266.9800000004</v>
      </c>
      <c r="K92" s="924">
        <f t="shared" si="12"/>
        <v>0</v>
      </c>
    </row>
    <row r="93" spans="1:12" x14ac:dyDescent="0.25">
      <c r="A93" s="909"/>
      <c r="B93" s="910" t="s">
        <v>9</v>
      </c>
      <c r="C93" s="910"/>
      <c r="D93" s="915">
        <f>SUM(D86:D89)</f>
        <v>3098215.1000000006</v>
      </c>
      <c r="E93" s="925"/>
      <c r="F93" s="921">
        <f>SUM(F85:F92)</f>
        <v>18479342.050000001</v>
      </c>
      <c r="G93" s="921"/>
      <c r="H93" s="921">
        <f>SUM(H85:H92)</f>
        <v>18510324.200000003</v>
      </c>
      <c r="I93" s="920"/>
      <c r="J93" s="921">
        <f>SUM(J85:J92)</f>
        <v>20494185.619999997</v>
      </c>
      <c r="K93" s="917">
        <f t="shared" si="12"/>
        <v>1983861.4199999943</v>
      </c>
      <c r="L93" s="926"/>
    </row>
    <row r="94" spans="1:12" x14ac:dyDescent="0.25">
      <c r="A94" s="909"/>
      <c r="B94" s="910"/>
      <c r="C94" s="910"/>
      <c r="D94" s="915"/>
      <c r="E94" s="925"/>
      <c r="F94" s="921"/>
      <c r="G94" s="921"/>
      <c r="H94" s="921"/>
      <c r="I94" s="920"/>
      <c r="J94" s="921"/>
      <c r="K94" s="917"/>
      <c r="L94" s="926"/>
    </row>
    <row r="95" spans="1:12" x14ac:dyDescent="0.25">
      <c r="A95" s="909" t="s">
        <v>74</v>
      </c>
      <c r="B95" s="894" t="s">
        <v>91</v>
      </c>
      <c r="C95" s="905"/>
      <c r="D95" s="906"/>
      <c r="E95" s="911"/>
      <c r="F95" s="912"/>
      <c r="G95" s="912"/>
      <c r="H95" s="912"/>
      <c r="I95" s="930"/>
      <c r="J95" s="930"/>
      <c r="K95" s="927"/>
    </row>
    <row r="96" spans="1:12" x14ac:dyDescent="0.25">
      <c r="A96" s="909"/>
      <c r="B96" s="894" t="s">
        <v>662</v>
      </c>
      <c r="C96" s="910">
        <f>'Sch M 2.2'!Q701</f>
        <v>524</v>
      </c>
      <c r="D96" s="906"/>
      <c r="E96" s="938">
        <f>E85</f>
        <v>37.5</v>
      </c>
      <c r="F96" s="917">
        <f>ROUND(E96*C96,2)</f>
        <v>19650</v>
      </c>
      <c r="G96" s="917"/>
      <c r="H96" s="917">
        <f>F96+G96</f>
        <v>19650</v>
      </c>
      <c r="I96" s="928">
        <f t="shared" ref="I96:I103" si="14">I85</f>
        <v>44.69</v>
      </c>
      <c r="J96" s="921">
        <f>ROUND(I96*C96,2)</f>
        <v>23417.56</v>
      </c>
      <c r="K96" s="917">
        <f t="shared" ref="K96:K104" si="15">J96-H96</f>
        <v>3767.5600000000013</v>
      </c>
    </row>
    <row r="97" spans="1:13" x14ac:dyDescent="0.25">
      <c r="A97" s="909"/>
      <c r="B97" s="935" t="s">
        <v>669</v>
      </c>
      <c r="C97" s="905"/>
      <c r="D97" s="915">
        <f>'Sch M 2.2'!Q706</f>
        <v>15490.2</v>
      </c>
      <c r="E97" s="929">
        <f t="shared" ref="E97:E103" si="16">E86</f>
        <v>2.2665999999999999</v>
      </c>
      <c r="F97" s="917">
        <f>ROUND(E97*D97,2)</f>
        <v>35110.089999999997</v>
      </c>
      <c r="G97" s="917"/>
      <c r="H97" s="917">
        <f t="shared" ref="H97:H103" si="17">F97+G97</f>
        <v>35110.089999999997</v>
      </c>
      <c r="I97" s="920">
        <f t="shared" si="14"/>
        <v>3.0331999999999999</v>
      </c>
      <c r="J97" s="921">
        <f>ROUND(I97*D97,2)</f>
        <v>46984.87</v>
      </c>
      <c r="K97" s="917">
        <f t="shared" si="15"/>
        <v>11874.780000000006</v>
      </c>
    </row>
    <row r="98" spans="1:13" x14ac:dyDescent="0.25">
      <c r="A98" s="909"/>
      <c r="B98" s="935" t="s">
        <v>670</v>
      </c>
      <c r="C98" s="905"/>
      <c r="D98" s="915">
        <f>'Sch M 2.2'!Q707</f>
        <v>63996.1</v>
      </c>
      <c r="E98" s="929">
        <f t="shared" si="16"/>
        <v>1.752</v>
      </c>
      <c r="F98" s="917">
        <f>ROUND(E98*D98,2)</f>
        <v>112121.17</v>
      </c>
      <c r="G98" s="917"/>
      <c r="H98" s="917">
        <f t="shared" si="17"/>
        <v>112121.17</v>
      </c>
      <c r="I98" s="920">
        <f t="shared" si="14"/>
        <v>2.3445999999999998</v>
      </c>
      <c r="J98" s="921">
        <f>ROUND(I98*D98,2)</f>
        <v>150045.26</v>
      </c>
      <c r="K98" s="917">
        <f t="shared" si="15"/>
        <v>37924.090000000011</v>
      </c>
    </row>
    <row r="99" spans="1:13" x14ac:dyDescent="0.25">
      <c r="A99" s="909"/>
      <c r="B99" s="935" t="s">
        <v>671</v>
      </c>
      <c r="C99" s="905"/>
      <c r="D99" s="915">
        <f>'Sch M 2.2'!Q708</f>
        <v>59338.899999999987</v>
      </c>
      <c r="E99" s="929">
        <f t="shared" si="16"/>
        <v>1.6658999999999999</v>
      </c>
      <c r="F99" s="917">
        <f>ROUND(E99*D99,2)</f>
        <v>98852.67</v>
      </c>
      <c r="G99" s="917"/>
      <c r="H99" s="917">
        <f t="shared" si="17"/>
        <v>98852.67</v>
      </c>
      <c r="I99" s="920">
        <f t="shared" si="14"/>
        <v>2.2294</v>
      </c>
      <c r="J99" s="921">
        <f>ROUND(I99*D99,2)</f>
        <v>132290.14000000001</v>
      </c>
      <c r="K99" s="917">
        <f t="shared" si="15"/>
        <v>33437.470000000016</v>
      </c>
    </row>
    <row r="100" spans="1:13" x14ac:dyDescent="0.25">
      <c r="A100" s="909"/>
      <c r="B100" s="894" t="s">
        <v>672</v>
      </c>
      <c r="C100" s="905"/>
      <c r="D100" s="915">
        <f>'Sch M 2.2'!Q709</f>
        <v>221425.30000000002</v>
      </c>
      <c r="E100" s="929">
        <f t="shared" si="16"/>
        <v>1.5164</v>
      </c>
      <c r="F100" s="917">
        <f>ROUND(E100*D100,2)</f>
        <v>335769.32</v>
      </c>
      <c r="G100" s="917"/>
      <c r="H100" s="917">
        <f t="shared" si="17"/>
        <v>335769.32</v>
      </c>
      <c r="I100" s="920">
        <f t="shared" si="14"/>
        <v>2.0294000000000003</v>
      </c>
      <c r="J100" s="921">
        <f>ROUND(I100*D100,2)</f>
        <v>449360.5</v>
      </c>
      <c r="K100" s="917">
        <f t="shared" si="15"/>
        <v>113591.18</v>
      </c>
    </row>
    <row r="101" spans="1:13" x14ac:dyDescent="0.25">
      <c r="A101" s="909"/>
      <c r="B101" s="894" t="s">
        <v>193</v>
      </c>
      <c r="C101" s="905"/>
      <c r="D101" s="915"/>
      <c r="E101" s="938">
        <f t="shared" si="16"/>
        <v>8.02</v>
      </c>
      <c r="F101" s="917">
        <f>ROUND(C96*E101,2)</f>
        <v>4202.4799999999996</v>
      </c>
      <c r="G101" s="917"/>
      <c r="H101" s="917">
        <f t="shared" si="17"/>
        <v>4202.4799999999996</v>
      </c>
      <c r="I101" s="928">
        <f t="shared" si="14"/>
        <v>0</v>
      </c>
      <c r="J101" s="921">
        <f>ROUND(C96*I101,2)</f>
        <v>0</v>
      </c>
      <c r="K101" s="917">
        <f t="shared" si="15"/>
        <v>-4202.4799999999996</v>
      </c>
    </row>
    <row r="102" spans="1:13" x14ac:dyDescent="0.25">
      <c r="A102" s="909"/>
      <c r="B102" s="910" t="s">
        <v>664</v>
      </c>
      <c r="C102" s="910"/>
      <c r="D102" s="915"/>
      <c r="E102" s="929">
        <f t="shared" si="16"/>
        <v>1.6E-2</v>
      </c>
      <c r="F102" s="922">
        <f>ROUND(E102*SUM(D97:D100),2)</f>
        <v>5764.01</v>
      </c>
      <c r="G102" s="922">
        <f>'Sch M 2.1'!F30</f>
        <v>3602.51</v>
      </c>
      <c r="H102" s="917">
        <f t="shared" si="17"/>
        <v>9366.52</v>
      </c>
      <c r="I102" s="920">
        <f t="shared" si="14"/>
        <v>2.5999999999999999E-2</v>
      </c>
      <c r="J102" s="936">
        <f>H102</f>
        <v>9366.52</v>
      </c>
      <c r="K102" s="917">
        <f t="shared" si="15"/>
        <v>0</v>
      </c>
    </row>
    <row r="103" spans="1:13" x14ac:dyDescent="0.25">
      <c r="A103" s="909"/>
      <c r="B103" s="910" t="s">
        <v>665</v>
      </c>
      <c r="C103" s="910"/>
      <c r="D103" s="939"/>
      <c r="E103" s="929">
        <f t="shared" si="16"/>
        <v>2.2090999999999998</v>
      </c>
      <c r="F103" s="923">
        <f>ROUND(SUM(D97:D100)*E103,2)</f>
        <v>795829.38</v>
      </c>
      <c r="G103" s="923"/>
      <c r="H103" s="924">
        <f t="shared" si="17"/>
        <v>795829.38</v>
      </c>
      <c r="I103" s="920">
        <f t="shared" si="14"/>
        <v>2.2090999999999998</v>
      </c>
      <c r="J103" s="937">
        <f>ROUND(SUM(D97:D100)*I103,2)</f>
        <v>795829.38</v>
      </c>
      <c r="K103" s="924">
        <f t="shared" si="15"/>
        <v>0</v>
      </c>
    </row>
    <row r="104" spans="1:13" x14ac:dyDescent="0.25">
      <c r="A104" s="909"/>
      <c r="B104" s="910" t="s">
        <v>9</v>
      </c>
      <c r="C104" s="910"/>
      <c r="D104" s="915">
        <f>SUM(D97:D100)</f>
        <v>360250.5</v>
      </c>
      <c r="E104" s="925"/>
      <c r="F104" s="921">
        <f>SUM(F96:F103)</f>
        <v>1407299.12</v>
      </c>
      <c r="G104" s="921"/>
      <c r="H104" s="921">
        <f>SUM(H96:H103)</f>
        <v>1410901.63</v>
      </c>
      <c r="I104" s="920"/>
      <c r="J104" s="921">
        <f>SUM(J96:J103)</f>
        <v>1607294.23</v>
      </c>
      <c r="K104" s="917">
        <f t="shared" si="15"/>
        <v>196392.60000000009</v>
      </c>
      <c r="L104" s="926"/>
    </row>
    <row r="105" spans="1:13" x14ac:dyDescent="0.25">
      <c r="A105" s="909"/>
      <c r="B105" s="910"/>
      <c r="C105" s="910"/>
      <c r="D105" s="915"/>
      <c r="E105" s="925"/>
      <c r="F105" s="921"/>
      <c r="G105" s="921"/>
      <c r="H105" s="921"/>
      <c r="I105" s="920"/>
      <c r="J105" s="921"/>
      <c r="K105" s="917"/>
      <c r="L105" s="926"/>
    </row>
    <row r="106" spans="1:13" x14ac:dyDescent="0.25">
      <c r="A106" s="1005" t="str">
        <f>$A$1</f>
        <v>PSC Case No. 2016-00162</v>
      </c>
      <c r="B106" s="1005"/>
      <c r="C106" s="1005"/>
      <c r="D106" s="1005"/>
      <c r="E106" s="1005"/>
      <c r="F106" s="1005"/>
      <c r="G106" s="1005"/>
      <c r="H106" s="1005"/>
      <c r="I106" s="1005"/>
      <c r="J106" s="1005"/>
      <c r="K106" s="1005"/>
      <c r="L106" s="1005"/>
    </row>
    <row r="107" spans="1:13" x14ac:dyDescent="0.25">
      <c r="A107" s="1005" t="s">
        <v>673</v>
      </c>
      <c r="B107" s="1005"/>
      <c r="C107" s="1005"/>
      <c r="D107" s="1005"/>
      <c r="E107" s="1005"/>
      <c r="F107" s="1005"/>
      <c r="G107" s="1005"/>
      <c r="H107" s="1005"/>
      <c r="I107" s="1005"/>
      <c r="J107" s="1005"/>
      <c r="K107" s="1005"/>
      <c r="L107" s="1005"/>
      <c r="M107" s="895"/>
    </row>
    <row r="108" spans="1:13" x14ac:dyDescent="0.25">
      <c r="A108" s="1006" t="s">
        <v>36</v>
      </c>
      <c r="B108" s="1006"/>
      <c r="C108" s="1006"/>
      <c r="D108" s="1006"/>
      <c r="E108" s="1006"/>
      <c r="F108" s="1006"/>
      <c r="G108" s="1006"/>
      <c r="H108" s="1006"/>
      <c r="I108" s="1006"/>
      <c r="J108" s="1006"/>
      <c r="K108" s="1006"/>
    </row>
    <row r="109" spans="1:13" x14ac:dyDescent="0.25">
      <c r="A109" s="1006" t="str">
        <f>A4</f>
        <v>Case No. 2016-00162</v>
      </c>
      <c r="B109" s="1006"/>
      <c r="C109" s="1006"/>
      <c r="D109" s="1006"/>
      <c r="E109" s="1006"/>
      <c r="F109" s="1006"/>
      <c r="G109" s="1006"/>
      <c r="H109" s="1006"/>
      <c r="I109" s="1006"/>
      <c r="J109" s="1006"/>
      <c r="K109" s="1006"/>
    </row>
    <row r="110" spans="1:13" x14ac:dyDescent="0.25">
      <c r="A110" s="1006" t="s">
        <v>654</v>
      </c>
      <c r="B110" s="1006"/>
      <c r="C110" s="1006"/>
      <c r="D110" s="1006"/>
      <c r="E110" s="1006"/>
      <c r="F110" s="1006"/>
      <c r="G110" s="1006"/>
      <c r="H110" s="1006"/>
      <c r="I110" s="1006"/>
      <c r="J110" s="1006"/>
      <c r="K110" s="1006"/>
    </row>
    <row r="111" spans="1:13" x14ac:dyDescent="0.25">
      <c r="G111" s="896" t="s">
        <v>392</v>
      </c>
    </row>
    <row r="112" spans="1:13" x14ac:dyDescent="0.25">
      <c r="A112" s="896" t="s">
        <v>0</v>
      </c>
      <c r="B112" s="896" t="s">
        <v>655</v>
      </c>
      <c r="C112" s="898" t="s">
        <v>656</v>
      </c>
      <c r="D112" s="899" t="s">
        <v>26</v>
      </c>
      <c r="E112" s="896" t="s">
        <v>68</v>
      </c>
      <c r="F112" s="896" t="s">
        <v>657</v>
      </c>
      <c r="G112" s="896" t="s">
        <v>396</v>
      </c>
      <c r="H112" s="896" t="s">
        <v>20</v>
      </c>
      <c r="I112" s="900" t="s">
        <v>30</v>
      </c>
      <c r="J112" s="896" t="s">
        <v>658</v>
      </c>
      <c r="K112" s="896" t="s">
        <v>20</v>
      </c>
      <c r="L112" s="896"/>
    </row>
    <row r="113" spans="1:12" x14ac:dyDescent="0.25">
      <c r="A113" s="901" t="s">
        <v>40</v>
      </c>
      <c r="B113" s="901" t="s">
        <v>4</v>
      </c>
      <c r="C113" s="902" t="s">
        <v>659</v>
      </c>
      <c r="D113" s="903" t="s">
        <v>28</v>
      </c>
      <c r="E113" s="901" t="s">
        <v>48</v>
      </c>
      <c r="F113" s="901" t="s">
        <v>20</v>
      </c>
      <c r="G113" s="901" t="s">
        <v>393</v>
      </c>
      <c r="H113" s="901" t="s">
        <v>5</v>
      </c>
      <c r="I113" s="904" t="s">
        <v>48</v>
      </c>
      <c r="J113" s="901" t="s">
        <v>20</v>
      </c>
      <c r="K113" s="901" t="s">
        <v>147</v>
      </c>
      <c r="L113" s="901"/>
    </row>
    <row r="114" spans="1:12" x14ac:dyDescent="0.25">
      <c r="C114" s="905"/>
      <c r="D114" s="906"/>
      <c r="E114" s="907" t="s">
        <v>660</v>
      </c>
      <c r="F114" s="907" t="s">
        <v>60</v>
      </c>
      <c r="G114" s="907" t="s">
        <v>60</v>
      </c>
      <c r="H114" s="907" t="s">
        <v>60</v>
      </c>
      <c r="I114" s="908" t="s">
        <v>660</v>
      </c>
      <c r="J114" s="907" t="s">
        <v>60</v>
      </c>
      <c r="K114" s="907" t="s">
        <v>60</v>
      </c>
      <c r="L114" s="907"/>
    </row>
    <row r="115" spans="1:12" x14ac:dyDescent="0.25">
      <c r="B115" s="901" t="s">
        <v>661</v>
      </c>
      <c r="C115" s="910"/>
      <c r="D115" s="915"/>
      <c r="E115" s="929"/>
      <c r="F115" s="917"/>
      <c r="G115" s="917"/>
      <c r="H115" s="917"/>
      <c r="I115" s="930"/>
      <c r="J115" s="917"/>
      <c r="K115" s="917"/>
      <c r="L115" s="926"/>
    </row>
    <row r="116" spans="1:12" x14ac:dyDescent="0.25">
      <c r="A116" s="909"/>
      <c r="B116" s="910"/>
      <c r="C116" s="910"/>
      <c r="D116" s="915"/>
      <c r="E116" s="925"/>
      <c r="F116" s="921"/>
      <c r="G116" s="921"/>
      <c r="H116" s="921"/>
      <c r="I116" s="920"/>
      <c r="J116" s="921"/>
      <c r="K116" s="917"/>
      <c r="L116" s="926"/>
    </row>
    <row r="117" spans="1:12" x14ac:dyDescent="0.25">
      <c r="A117" s="909" t="s">
        <v>290</v>
      </c>
      <c r="B117" s="894" t="s">
        <v>291</v>
      </c>
      <c r="C117" s="905"/>
      <c r="D117" s="906"/>
      <c r="E117" s="911"/>
      <c r="F117" s="912"/>
      <c r="G117" s="912"/>
      <c r="H117" s="912"/>
      <c r="I117" s="930"/>
      <c r="J117" s="931"/>
      <c r="K117" s="927"/>
    </row>
    <row r="118" spans="1:12" x14ac:dyDescent="0.25">
      <c r="A118" s="909"/>
      <c r="B118" s="894" t="s">
        <v>662</v>
      </c>
      <c r="C118" s="910">
        <f>'Sch M 2.2'!Q752</f>
        <v>0</v>
      </c>
      <c r="D118" s="918"/>
      <c r="E118" s="938">
        <f>'Sch M 2.2'!D753</f>
        <v>1007.05</v>
      </c>
      <c r="F118" s="917">
        <f>ROUND(E118*C118,2)</f>
        <v>0</v>
      </c>
      <c r="G118" s="917"/>
      <c r="H118" s="917">
        <f t="shared" ref="H118:H124" si="18">F118+G118</f>
        <v>0</v>
      </c>
      <c r="I118" s="970">
        <f>'Sch M 2.3'!D750</f>
        <v>2007</v>
      </c>
      <c r="J118" s="917">
        <f>ROUND(I118*C118,2)</f>
        <v>0</v>
      </c>
      <c r="K118" s="917">
        <f t="shared" ref="K118:K125" si="19">J118-H118</f>
        <v>0</v>
      </c>
    </row>
    <row r="119" spans="1:12" x14ac:dyDescent="0.25">
      <c r="A119" s="909"/>
      <c r="B119" s="935" t="s">
        <v>674</v>
      </c>
      <c r="C119" s="933"/>
      <c r="D119" s="915">
        <f>'Sch M 2.2'!Q757</f>
        <v>0</v>
      </c>
      <c r="E119" s="929">
        <f>'Sch M 2.2'!D762</f>
        <v>0.54430000000000001</v>
      </c>
      <c r="F119" s="917">
        <f>ROUND(E119*D119,2)</f>
        <v>0</v>
      </c>
      <c r="G119" s="917"/>
      <c r="H119" s="917">
        <f t="shared" si="18"/>
        <v>0</v>
      </c>
      <c r="I119" s="971">
        <f>'Sch M 2.3'!D759</f>
        <v>0.6321</v>
      </c>
      <c r="J119" s="917">
        <f>ROUND(I119*D119,2)</f>
        <v>0</v>
      </c>
      <c r="K119" s="917">
        <f t="shared" si="19"/>
        <v>0</v>
      </c>
    </row>
    <row r="120" spans="1:12" x14ac:dyDescent="0.25">
      <c r="A120" s="909"/>
      <c r="B120" s="935" t="s">
        <v>675</v>
      </c>
      <c r="C120" s="933"/>
      <c r="D120" s="915">
        <f>'Sch M 2.2'!Q758</f>
        <v>0</v>
      </c>
      <c r="E120" s="929">
        <f>'Sch M 2.2'!D763</f>
        <v>0.28899999999999998</v>
      </c>
      <c r="F120" s="917">
        <f>ROUND(E120*D120,2)</f>
        <v>0</v>
      </c>
      <c r="G120" s="917"/>
      <c r="H120" s="917">
        <f t="shared" si="18"/>
        <v>0</v>
      </c>
      <c r="I120" s="971">
        <f>'Sch M 2.3'!D760</f>
        <v>0.37730000000000002</v>
      </c>
      <c r="J120" s="917">
        <f>ROUND(I120*D120,2)</f>
        <v>0</v>
      </c>
      <c r="K120" s="917">
        <f t="shared" si="19"/>
        <v>0</v>
      </c>
    </row>
    <row r="121" spans="1:12" x14ac:dyDescent="0.25">
      <c r="A121" s="909"/>
      <c r="B121" s="935" t="s">
        <v>676</v>
      </c>
      <c r="C121" s="933"/>
      <c r="D121" s="915">
        <f>'Sch M 2.2'!Q759</f>
        <v>0</v>
      </c>
      <c r="E121" s="929">
        <f>'Sch M 2.2'!D764</f>
        <v>0.28899999999999998</v>
      </c>
      <c r="F121" s="917">
        <f>ROUND(E121*D121,2)</f>
        <v>0</v>
      </c>
      <c r="G121" s="917"/>
      <c r="H121" s="917">
        <f t="shared" si="18"/>
        <v>0</v>
      </c>
      <c r="I121" s="971">
        <f>'Sch M 2.3'!D761</f>
        <v>0.32829999999999998</v>
      </c>
      <c r="J121" s="917">
        <f>ROUND(I121*D121,2)</f>
        <v>0</v>
      </c>
      <c r="K121" s="917">
        <f t="shared" si="19"/>
        <v>0</v>
      </c>
    </row>
    <row r="122" spans="1:12" x14ac:dyDescent="0.25">
      <c r="A122" s="909"/>
      <c r="B122" s="894" t="s">
        <v>193</v>
      </c>
      <c r="C122" s="933"/>
      <c r="D122" s="918"/>
      <c r="E122" s="938">
        <f>'Sch M 2.2'!D754</f>
        <v>449.59</v>
      </c>
      <c r="F122" s="917">
        <f>ROUND(C118*E122,2)</f>
        <v>0</v>
      </c>
      <c r="G122" s="917"/>
      <c r="H122" s="917">
        <f t="shared" si="18"/>
        <v>0</v>
      </c>
      <c r="I122" s="928">
        <f>'Sch M 2.3'!D751</f>
        <v>0</v>
      </c>
      <c r="J122" s="917">
        <f>ROUND(C118*I122,2)</f>
        <v>0</v>
      </c>
      <c r="K122" s="917">
        <f t="shared" si="19"/>
        <v>0</v>
      </c>
    </row>
    <row r="123" spans="1:12" x14ac:dyDescent="0.25">
      <c r="A123" s="909"/>
      <c r="B123" s="910" t="s">
        <v>664</v>
      </c>
      <c r="C123" s="914"/>
      <c r="D123" s="918"/>
      <c r="E123" s="929">
        <f>'Sch M 2.2'!D774</f>
        <v>1.6E-2</v>
      </c>
      <c r="F123" s="922">
        <f>ROUND(E123*D119,2)</f>
        <v>0</v>
      </c>
      <c r="G123" s="922">
        <f>'Sch M 2.1'!F31</f>
        <v>0</v>
      </c>
      <c r="H123" s="917">
        <f t="shared" si="18"/>
        <v>0</v>
      </c>
      <c r="I123" s="920">
        <f>'Sch M 2.3'!D771</f>
        <v>2.5999999999999999E-2</v>
      </c>
      <c r="J123" s="922">
        <f>ROUND(I123*D119,2)</f>
        <v>0</v>
      </c>
      <c r="K123" s="917">
        <f t="shared" si="19"/>
        <v>0</v>
      </c>
    </row>
    <row r="124" spans="1:12" x14ac:dyDescent="0.25">
      <c r="A124" s="909"/>
      <c r="B124" s="910" t="s">
        <v>665</v>
      </c>
      <c r="C124" s="914"/>
      <c r="D124" s="918"/>
      <c r="E124" s="920">
        <f>'Sch M 2.2'!D769</f>
        <v>2.2090999999999998</v>
      </c>
      <c r="F124" s="923">
        <f>ROUND(D119*E124,2)</f>
        <v>0</v>
      </c>
      <c r="G124" s="923"/>
      <c r="H124" s="924">
        <f t="shared" si="18"/>
        <v>0</v>
      </c>
      <c r="I124" s="920">
        <f>E124</f>
        <v>2.2090999999999998</v>
      </c>
      <c r="J124" s="923">
        <f>ROUND(D119*I124,2)</f>
        <v>0</v>
      </c>
      <c r="K124" s="924">
        <f t="shared" si="19"/>
        <v>0</v>
      </c>
    </row>
    <row r="125" spans="1:12" x14ac:dyDescent="0.25">
      <c r="A125" s="909"/>
      <c r="B125" s="910" t="s">
        <v>9</v>
      </c>
      <c r="C125" s="910"/>
      <c r="D125" s="915">
        <f>SUM(D119:D121)</f>
        <v>0</v>
      </c>
      <c r="E125" s="925"/>
      <c r="F125" s="921">
        <f>SUM(F118:F124)</f>
        <v>0</v>
      </c>
      <c r="G125" s="921"/>
      <c r="H125" s="921">
        <f>SUM(H118:H124)</f>
        <v>0</v>
      </c>
      <c r="I125" s="920"/>
      <c r="J125" s="921">
        <f>SUM(J118:J124)</f>
        <v>0</v>
      </c>
      <c r="K125" s="917">
        <f t="shared" si="19"/>
        <v>0</v>
      </c>
      <c r="L125" s="926"/>
    </row>
    <row r="126" spans="1:12" x14ac:dyDescent="0.25">
      <c r="A126" s="909"/>
      <c r="B126" s="910"/>
      <c r="C126" s="910"/>
      <c r="D126" s="915"/>
      <c r="E126" s="925"/>
      <c r="F126" s="921"/>
      <c r="G126" s="921"/>
      <c r="H126" s="921"/>
      <c r="I126" s="920"/>
      <c r="J126" s="921"/>
      <c r="K126" s="917"/>
      <c r="L126" s="926"/>
    </row>
    <row r="127" spans="1:12" x14ac:dyDescent="0.25">
      <c r="A127" s="909" t="s">
        <v>92</v>
      </c>
      <c r="B127" s="894" t="s">
        <v>93</v>
      </c>
      <c r="C127" s="905"/>
      <c r="D127" s="906"/>
      <c r="E127" s="911"/>
      <c r="F127" s="912"/>
      <c r="G127" s="912"/>
      <c r="H127" s="912"/>
      <c r="I127" s="930"/>
      <c r="J127" s="931"/>
      <c r="K127" s="927"/>
    </row>
    <row r="128" spans="1:12" x14ac:dyDescent="0.25">
      <c r="A128" s="909"/>
      <c r="B128" s="894" t="s">
        <v>662</v>
      </c>
      <c r="C128" s="910">
        <f>'Sch M 2.2'!Q783</f>
        <v>24</v>
      </c>
      <c r="D128" s="918"/>
      <c r="E128" s="938">
        <f>'Sch M 2.2'!D784</f>
        <v>477</v>
      </c>
      <c r="F128" s="917">
        <f>ROUND(E128*C128,2)</f>
        <v>11448</v>
      </c>
      <c r="G128" s="917"/>
      <c r="H128" s="917">
        <f t="shared" ref="H128:H132" si="20">F128+G128</f>
        <v>11448</v>
      </c>
      <c r="I128" s="970">
        <f>'Sch M 2.3'!D781</f>
        <v>567.4</v>
      </c>
      <c r="J128" s="917">
        <f>ROUND(I128*C128,2)</f>
        <v>13617.6</v>
      </c>
      <c r="K128" s="917">
        <f t="shared" ref="K128:K133" si="21">J128-H128</f>
        <v>2169.6000000000004</v>
      </c>
    </row>
    <row r="129" spans="1:12" x14ac:dyDescent="0.25">
      <c r="A129" s="909"/>
      <c r="B129" s="910" t="s">
        <v>663</v>
      </c>
      <c r="C129" s="933"/>
      <c r="D129" s="915">
        <f>'Sch M 2.2'!Q787</f>
        <v>11320.699999999999</v>
      </c>
      <c r="E129" s="929">
        <f>'Sch M 2.2'!D788</f>
        <v>0.81499999999999995</v>
      </c>
      <c r="F129" s="917">
        <f>ROUND(E129*D129,2)</f>
        <v>9226.3700000000008</v>
      </c>
      <c r="G129" s="917"/>
      <c r="H129" s="917">
        <f t="shared" si="20"/>
        <v>9226.3700000000008</v>
      </c>
      <c r="I129" s="971">
        <f>'Sch M 2.3'!D785</f>
        <v>1.1635</v>
      </c>
      <c r="J129" s="917">
        <f>ROUND(I129*D129,2)</f>
        <v>13171.63</v>
      </c>
      <c r="K129" s="917">
        <f t="shared" si="21"/>
        <v>3945.2599999999984</v>
      </c>
    </row>
    <row r="130" spans="1:12" x14ac:dyDescent="0.25">
      <c r="A130" s="909"/>
      <c r="B130" s="894" t="s">
        <v>193</v>
      </c>
      <c r="C130" s="933"/>
      <c r="D130" s="918"/>
      <c r="E130" s="938">
        <f>'Sch M 2.2'!D785</f>
        <v>76.959999999999994</v>
      </c>
      <c r="F130" s="917">
        <f>ROUND(C128*E130,2)</f>
        <v>1847.04</v>
      </c>
      <c r="G130" s="917"/>
      <c r="H130" s="917">
        <f t="shared" si="20"/>
        <v>1847.04</v>
      </c>
      <c r="I130" s="928">
        <f>'Sch M 2.3'!D782</f>
        <v>0</v>
      </c>
      <c r="J130" s="917">
        <f>ROUND(C128*I130,2)</f>
        <v>0</v>
      </c>
      <c r="K130" s="917">
        <f t="shared" si="21"/>
        <v>-1847.04</v>
      </c>
    </row>
    <row r="131" spans="1:12" x14ac:dyDescent="0.25">
      <c r="A131" s="909"/>
      <c r="B131" s="910" t="s">
        <v>664</v>
      </c>
      <c r="C131" s="914"/>
      <c r="D131" s="918"/>
      <c r="E131" s="929">
        <f>'Sch M 2.2'!D797</f>
        <v>1.6E-2</v>
      </c>
      <c r="F131" s="922">
        <f>ROUND(E131*D129,2)</f>
        <v>181.13</v>
      </c>
      <c r="G131" s="922">
        <f>'Sch M 2.1'!F32</f>
        <v>113.21</v>
      </c>
      <c r="H131" s="917">
        <f t="shared" si="20"/>
        <v>294.33999999999997</v>
      </c>
      <c r="I131" s="920">
        <f>'Sch M 2.3'!D794</f>
        <v>2.5999999999999999E-2</v>
      </c>
      <c r="J131" s="922">
        <f>ROUND(I131*D129,2)</f>
        <v>294.33999999999997</v>
      </c>
      <c r="K131" s="917">
        <f t="shared" si="21"/>
        <v>0</v>
      </c>
    </row>
    <row r="132" spans="1:12" x14ac:dyDescent="0.25">
      <c r="A132" s="909"/>
      <c r="B132" s="910" t="s">
        <v>665</v>
      </c>
      <c r="C132" s="914"/>
      <c r="D132" s="918"/>
      <c r="E132" s="920">
        <f>'Sch M 2.2'!D792</f>
        <v>2.2090999999999998</v>
      </c>
      <c r="F132" s="923">
        <f>ROUND(D129*E132,2)</f>
        <v>25008.560000000001</v>
      </c>
      <c r="G132" s="923"/>
      <c r="H132" s="924">
        <f t="shared" si="20"/>
        <v>25008.560000000001</v>
      </c>
      <c r="I132" s="920">
        <f>E132</f>
        <v>2.2090999999999998</v>
      </c>
      <c r="J132" s="923">
        <f>ROUND(D129*I132,2)</f>
        <v>25008.560000000001</v>
      </c>
      <c r="K132" s="924">
        <f t="shared" si="21"/>
        <v>0</v>
      </c>
    </row>
    <row r="133" spans="1:12" x14ac:dyDescent="0.25">
      <c r="A133" s="909"/>
      <c r="B133" s="910" t="s">
        <v>9</v>
      </c>
      <c r="C133" s="910"/>
      <c r="D133" s="915"/>
      <c r="E133" s="925"/>
      <c r="F133" s="921">
        <f>SUM(F128:F132)</f>
        <v>47711.100000000006</v>
      </c>
      <c r="G133" s="921"/>
      <c r="H133" s="921">
        <f>SUM(H128:H132)</f>
        <v>47824.310000000005</v>
      </c>
      <c r="I133" s="920"/>
      <c r="J133" s="921">
        <f>SUM(J128:J132)</f>
        <v>52092.130000000005</v>
      </c>
      <c r="K133" s="917">
        <f t="shared" si="21"/>
        <v>4267.82</v>
      </c>
      <c r="L133" s="926"/>
    </row>
    <row r="134" spans="1:12" x14ac:dyDescent="0.25">
      <c r="A134" s="909"/>
      <c r="B134" s="910"/>
      <c r="C134" s="905"/>
      <c r="D134" s="906"/>
      <c r="E134" s="911"/>
      <c r="F134" s="917"/>
      <c r="G134" s="917"/>
      <c r="H134" s="921"/>
      <c r="I134" s="930"/>
      <c r="J134" s="917"/>
      <c r="K134" s="917"/>
      <c r="L134" s="926"/>
    </row>
    <row r="135" spans="1:12" x14ac:dyDescent="0.25">
      <c r="B135" s="940" t="s">
        <v>95</v>
      </c>
      <c r="C135" s="941"/>
      <c r="D135" s="942"/>
      <c r="E135" s="911"/>
      <c r="F135" s="912"/>
      <c r="G135" s="912"/>
      <c r="H135" s="912"/>
      <c r="I135" s="930"/>
      <c r="J135" s="931"/>
      <c r="K135" s="927"/>
    </row>
    <row r="136" spans="1:12" x14ac:dyDescent="0.25">
      <c r="A136" s="909" t="s">
        <v>96</v>
      </c>
      <c r="B136" s="894" t="s">
        <v>116</v>
      </c>
      <c r="C136" s="905"/>
      <c r="D136" s="906"/>
      <c r="E136" s="911"/>
      <c r="F136" s="912"/>
      <c r="G136" s="912"/>
      <c r="H136" s="912"/>
      <c r="I136" s="930"/>
      <c r="J136" s="931"/>
      <c r="K136" s="927"/>
    </row>
    <row r="137" spans="1:12" x14ac:dyDescent="0.25">
      <c r="A137" s="909"/>
      <c r="B137" s="894" t="s">
        <v>662</v>
      </c>
      <c r="C137" s="910">
        <f>'Sch M 2.2'!Q823</f>
        <v>281946</v>
      </c>
      <c r="D137" s="918"/>
      <c r="E137" s="938">
        <f>'Sch M 2.2'!D824</f>
        <v>15</v>
      </c>
      <c r="F137" s="917">
        <f>ROUND(E137*C137,2)</f>
        <v>4229190</v>
      </c>
      <c r="G137" s="917"/>
      <c r="H137" s="917">
        <f t="shared" ref="H137:H141" si="22">F137+G137</f>
        <v>4229190</v>
      </c>
      <c r="I137" s="928">
        <f>I12</f>
        <v>16</v>
      </c>
      <c r="J137" s="917">
        <f>ROUND(I137*C137,2)</f>
        <v>4511136</v>
      </c>
      <c r="K137" s="917">
        <f>J137-H137</f>
        <v>281946</v>
      </c>
    </row>
    <row r="138" spans="1:12" x14ac:dyDescent="0.25">
      <c r="A138" s="909"/>
      <c r="B138" s="910" t="s">
        <v>663</v>
      </c>
      <c r="C138" s="914"/>
      <c r="D138" s="915">
        <f>'Sch M 2.2'!Q827</f>
        <v>1707000</v>
      </c>
      <c r="E138" s="929">
        <f>'Sch M 2.2'!D828</f>
        <v>2.2665999999999999</v>
      </c>
      <c r="F138" s="917">
        <f>ROUND(E138*D138,2)</f>
        <v>3869086.2</v>
      </c>
      <c r="G138" s="917"/>
      <c r="H138" s="917">
        <f t="shared" si="22"/>
        <v>3869086.2</v>
      </c>
      <c r="I138" s="920">
        <f>I13</f>
        <v>3.5926999999999998</v>
      </c>
      <c r="J138" s="917">
        <f>ROUND(I138*D138,2)</f>
        <v>6132738.9000000004</v>
      </c>
      <c r="K138" s="917">
        <f>J138-H138</f>
        <v>2263652.7000000002</v>
      </c>
    </row>
    <row r="139" spans="1:12" x14ac:dyDescent="0.25">
      <c r="A139" s="909"/>
      <c r="B139" s="910" t="s">
        <v>193</v>
      </c>
      <c r="C139" s="914"/>
      <c r="D139" s="918"/>
      <c r="E139" s="938">
        <f>'Sch M 2.2'!D825</f>
        <v>2.25</v>
      </c>
      <c r="F139" s="917">
        <f>ROUND(C137*E139,2)</f>
        <v>634378.5</v>
      </c>
      <c r="G139" s="917"/>
      <c r="H139" s="917">
        <f t="shared" si="22"/>
        <v>634378.5</v>
      </c>
      <c r="I139" s="928">
        <f>'Sch M 2.3'!D824</f>
        <v>0</v>
      </c>
      <c r="J139" s="917">
        <f>ROUND(C137*I139,2)</f>
        <v>0</v>
      </c>
      <c r="K139" s="917">
        <f>J139-H139</f>
        <v>-634378.5</v>
      </c>
    </row>
    <row r="140" spans="1:12" x14ac:dyDescent="0.25">
      <c r="A140" s="909"/>
      <c r="B140" s="910" t="s">
        <v>192</v>
      </c>
      <c r="C140" s="914"/>
      <c r="D140" s="918"/>
      <c r="E140" s="929">
        <f>'Sch M 2.2'!D837</f>
        <v>0.69</v>
      </c>
      <c r="F140" s="917">
        <f>ROUND(E140*C137,2)</f>
        <v>194542.74</v>
      </c>
      <c r="G140" s="917"/>
      <c r="H140" s="917">
        <f t="shared" si="22"/>
        <v>194542.74</v>
      </c>
      <c r="I140" s="920">
        <f>E140</f>
        <v>0.69</v>
      </c>
      <c r="J140" s="917">
        <f>ROUND(C137*I140,2)</f>
        <v>194542.74</v>
      </c>
      <c r="K140" s="917">
        <f>J140-H140</f>
        <v>0</v>
      </c>
    </row>
    <row r="141" spans="1:12" x14ac:dyDescent="0.25">
      <c r="A141" s="909"/>
      <c r="B141" s="910" t="s">
        <v>144</v>
      </c>
      <c r="C141" s="914"/>
      <c r="D141" s="932"/>
      <c r="E141" s="929">
        <f>'Sch M 2.2'!D838</f>
        <v>5.9700000000000003E-2</v>
      </c>
      <c r="F141" s="924">
        <f>ROUND(E141*D138,2)</f>
        <v>101907.9</v>
      </c>
      <c r="G141" s="924"/>
      <c r="H141" s="924">
        <f t="shared" si="22"/>
        <v>101907.9</v>
      </c>
      <c r="I141" s="920">
        <f>E141</f>
        <v>5.9700000000000003E-2</v>
      </c>
      <c r="J141" s="924">
        <f>ROUND(I141*D138,2)</f>
        <v>101907.9</v>
      </c>
      <c r="K141" s="924">
        <f>J141-H141</f>
        <v>0</v>
      </c>
      <c r="L141" s="926"/>
    </row>
    <row r="142" spans="1:12" x14ac:dyDescent="0.25">
      <c r="A142" s="909"/>
      <c r="B142" s="910" t="s">
        <v>9</v>
      </c>
      <c r="C142" s="910"/>
      <c r="D142" s="915"/>
      <c r="E142" s="929"/>
      <c r="F142" s="917">
        <f>SUM(F137:F141)</f>
        <v>9029105.3399999999</v>
      </c>
      <c r="G142" s="917"/>
      <c r="H142" s="921">
        <f>SUM(H137:H141)</f>
        <v>9029105.3399999999</v>
      </c>
      <c r="I142" s="930"/>
      <c r="J142" s="917">
        <f>SUM(J137:J141)</f>
        <v>10940325.540000001</v>
      </c>
      <c r="K142" s="917">
        <f>SUM(K137:K141)</f>
        <v>1911220.2000000002</v>
      </c>
      <c r="L142" s="926"/>
    </row>
    <row r="143" spans="1:12" x14ac:dyDescent="0.25">
      <c r="A143" s="909"/>
      <c r="B143" s="910"/>
      <c r="C143" s="910"/>
      <c r="D143" s="915"/>
      <c r="E143" s="929"/>
      <c r="F143" s="917"/>
      <c r="G143" s="917"/>
      <c r="H143" s="921"/>
      <c r="I143" s="930"/>
      <c r="J143" s="917"/>
      <c r="K143" s="917"/>
      <c r="L143" s="926"/>
    </row>
    <row r="144" spans="1:12" x14ac:dyDescent="0.25">
      <c r="A144" s="909" t="s">
        <v>97</v>
      </c>
      <c r="B144" s="894" t="s">
        <v>117</v>
      </c>
      <c r="C144" s="905"/>
      <c r="D144" s="906"/>
      <c r="E144" s="911"/>
      <c r="F144" s="912"/>
      <c r="G144" s="912"/>
      <c r="H144" s="912"/>
      <c r="I144" s="930"/>
      <c r="J144" s="931"/>
      <c r="K144" s="927"/>
    </row>
    <row r="145" spans="1:12" x14ac:dyDescent="0.25">
      <c r="A145" s="909"/>
      <c r="B145" s="894" t="s">
        <v>662</v>
      </c>
      <c r="C145" s="910">
        <f>'Sch M 2.2'!Q848</f>
        <v>47445</v>
      </c>
      <c r="D145" s="934"/>
      <c r="E145" s="938">
        <f>'Sch M 2.2'!D849</f>
        <v>37.5</v>
      </c>
      <c r="F145" s="917">
        <f>ROUND(E145*C145,2)</f>
        <v>1779187.5</v>
      </c>
      <c r="G145" s="917"/>
      <c r="H145" s="917">
        <f t="shared" ref="H145:H150" si="23">F145+G145</f>
        <v>1779187.5</v>
      </c>
      <c r="I145" s="928">
        <f>I85</f>
        <v>44.69</v>
      </c>
      <c r="J145" s="921">
        <f>ROUND(I145*C145,2)</f>
        <v>2120317.0499999998</v>
      </c>
      <c r="K145" s="921">
        <f t="shared" ref="K145:K151" si="24">J145-H145</f>
        <v>341129.54999999981</v>
      </c>
    </row>
    <row r="146" spans="1:12" x14ac:dyDescent="0.25">
      <c r="A146" s="909"/>
      <c r="B146" s="935" t="s">
        <v>669</v>
      </c>
      <c r="C146" s="933"/>
      <c r="D146" s="915">
        <f>'Sch M 2.2'!Q853</f>
        <v>786377.4</v>
      </c>
      <c r="E146" s="929">
        <f>'Sch M 2.2'!D859</f>
        <v>2.2665999999999999</v>
      </c>
      <c r="F146" s="917">
        <f>ROUND(E146*D146,2)</f>
        <v>1782403.01</v>
      </c>
      <c r="G146" s="917"/>
      <c r="H146" s="917">
        <f t="shared" si="23"/>
        <v>1782403.01</v>
      </c>
      <c r="I146" s="920">
        <f>I86</f>
        <v>3.0331999999999999</v>
      </c>
      <c r="J146" s="921">
        <f>ROUND(I146*D146,2)</f>
        <v>2385239.9300000002</v>
      </c>
      <c r="K146" s="921">
        <f t="shared" si="24"/>
        <v>602836.92000000016</v>
      </c>
    </row>
    <row r="147" spans="1:12" x14ac:dyDescent="0.25">
      <c r="A147" s="909"/>
      <c r="B147" s="935" t="s">
        <v>670</v>
      </c>
      <c r="C147" s="933"/>
      <c r="D147" s="915">
        <f>'Sch M 2.2'!Q854</f>
        <v>806927.7</v>
      </c>
      <c r="E147" s="929">
        <f>'Sch M 2.2'!D860</f>
        <v>1.752</v>
      </c>
      <c r="F147" s="917">
        <f>ROUND(E147*D147,2)</f>
        <v>1413737.33</v>
      </c>
      <c r="G147" s="917"/>
      <c r="H147" s="917">
        <f t="shared" si="23"/>
        <v>1413737.33</v>
      </c>
      <c r="I147" s="920">
        <f>I87</f>
        <v>2.3445999999999998</v>
      </c>
      <c r="J147" s="921">
        <f>ROUND(I147*D147,2)</f>
        <v>1891922.69</v>
      </c>
      <c r="K147" s="921">
        <f t="shared" si="24"/>
        <v>478185.35999999987</v>
      </c>
    </row>
    <row r="148" spans="1:12" x14ac:dyDescent="0.25">
      <c r="A148" s="909"/>
      <c r="B148" s="935" t="s">
        <v>671</v>
      </c>
      <c r="C148" s="933"/>
      <c r="D148" s="915">
        <f>'Sch M 2.2'!Q855</f>
        <v>179253.4</v>
      </c>
      <c r="E148" s="929">
        <f>'Sch M 2.2'!D861</f>
        <v>1.6658999999999999</v>
      </c>
      <c r="F148" s="917">
        <f>ROUND(E148*D148,2)</f>
        <v>298618.23999999999</v>
      </c>
      <c r="G148" s="917"/>
      <c r="H148" s="917">
        <f t="shared" si="23"/>
        <v>298618.23999999999</v>
      </c>
      <c r="I148" s="920">
        <f>I88</f>
        <v>2.2294</v>
      </c>
      <c r="J148" s="921">
        <f>ROUND(I148*D148,2)</f>
        <v>399627.53</v>
      </c>
      <c r="K148" s="921">
        <f t="shared" si="24"/>
        <v>101009.29000000004</v>
      </c>
    </row>
    <row r="149" spans="1:12" x14ac:dyDescent="0.25">
      <c r="A149" s="909"/>
      <c r="B149" s="894" t="s">
        <v>672</v>
      </c>
      <c r="C149" s="933"/>
      <c r="D149" s="915">
        <f>'Sch M 2.2'!Q856</f>
        <v>87432.3</v>
      </c>
      <c r="E149" s="929">
        <f>'Sch M 2.2'!D862</f>
        <v>1.5164</v>
      </c>
      <c r="F149" s="917">
        <f>ROUND(E149*D149,2)</f>
        <v>132582.34</v>
      </c>
      <c r="G149" s="917"/>
      <c r="H149" s="917">
        <f t="shared" si="23"/>
        <v>132582.34</v>
      </c>
      <c r="I149" s="920">
        <f>I89</f>
        <v>2.0294000000000003</v>
      </c>
      <c r="J149" s="921">
        <f>ROUND(I149*D149,2)</f>
        <v>177435.11</v>
      </c>
      <c r="K149" s="921">
        <f t="shared" si="24"/>
        <v>44852.76999999999</v>
      </c>
    </row>
    <row r="150" spans="1:12" x14ac:dyDescent="0.25">
      <c r="A150" s="909"/>
      <c r="B150" s="894" t="s">
        <v>193</v>
      </c>
      <c r="C150" s="933"/>
      <c r="D150" s="932"/>
      <c r="E150" s="938">
        <f>'Sch M 2.2'!D850</f>
        <v>8.02</v>
      </c>
      <c r="F150" s="924">
        <f>ROUND(C145*E150,2)</f>
        <v>380508.9</v>
      </c>
      <c r="G150" s="924"/>
      <c r="H150" s="924">
        <f t="shared" si="23"/>
        <v>380508.9</v>
      </c>
      <c r="I150" s="928">
        <f>'Sch M 2.3'!D849</f>
        <v>0</v>
      </c>
      <c r="J150" s="943">
        <f>ROUND(C145*I150,2)</f>
        <v>0</v>
      </c>
      <c r="K150" s="943">
        <f t="shared" si="24"/>
        <v>-380508.9</v>
      </c>
    </row>
    <row r="151" spans="1:12" x14ac:dyDescent="0.25">
      <c r="A151" s="909"/>
      <c r="B151" s="910" t="s">
        <v>9</v>
      </c>
      <c r="C151" s="910"/>
      <c r="D151" s="915">
        <f>SUM(D146:D150)</f>
        <v>1859990.8</v>
      </c>
      <c r="E151" s="925"/>
      <c r="F151" s="921">
        <f>SUM(F145:F150)</f>
        <v>5787037.3200000003</v>
      </c>
      <c r="G151" s="921"/>
      <c r="H151" s="921">
        <f>SUM(H145:H150)</f>
        <v>5787037.3200000003</v>
      </c>
      <c r="I151" s="920"/>
      <c r="J151" s="921">
        <f>SUM(J145:J150)</f>
        <v>6974542.3100000005</v>
      </c>
      <c r="K151" s="921">
        <f t="shared" si="24"/>
        <v>1187504.9900000002</v>
      </c>
      <c r="L151" s="926"/>
    </row>
    <row r="152" spans="1:12" x14ac:dyDescent="0.25">
      <c r="A152" s="909"/>
      <c r="B152" s="910"/>
      <c r="C152" s="910"/>
      <c r="D152" s="915"/>
      <c r="E152" s="925"/>
      <c r="F152" s="921"/>
      <c r="G152" s="921"/>
      <c r="H152" s="921"/>
      <c r="I152" s="920"/>
      <c r="J152" s="921"/>
      <c r="K152" s="917"/>
      <c r="L152" s="926"/>
    </row>
    <row r="153" spans="1:12" x14ac:dyDescent="0.25">
      <c r="A153" s="909" t="s">
        <v>97</v>
      </c>
      <c r="B153" s="894" t="s">
        <v>118</v>
      </c>
      <c r="C153" s="910"/>
      <c r="D153" s="915"/>
      <c r="E153" s="925"/>
      <c r="F153" s="921"/>
      <c r="G153" s="921"/>
      <c r="H153" s="921"/>
      <c r="I153" s="920"/>
      <c r="J153" s="921"/>
      <c r="K153" s="917"/>
      <c r="L153" s="926"/>
    </row>
    <row r="154" spans="1:12" x14ac:dyDescent="0.25">
      <c r="A154" s="909"/>
      <c r="B154" s="894" t="s">
        <v>662</v>
      </c>
      <c r="C154" s="910">
        <f>'Sch M 2.2'!Q893</f>
        <v>149</v>
      </c>
      <c r="D154" s="934"/>
      <c r="E154" s="938">
        <f t="shared" ref="E154:E159" si="25">E145</f>
        <v>37.5</v>
      </c>
      <c r="F154" s="917">
        <f>ROUND(E154*C154,2)</f>
        <v>5587.5</v>
      </c>
      <c r="G154" s="917"/>
      <c r="H154" s="917">
        <f t="shared" ref="H154:H159" si="26">F154+G154</f>
        <v>5587.5</v>
      </c>
      <c r="I154" s="928">
        <f>I145</f>
        <v>44.69</v>
      </c>
      <c r="J154" s="921">
        <f>ROUND(I154*C154,2)</f>
        <v>6658.81</v>
      </c>
      <c r="K154" s="917">
        <f t="shared" ref="K154:K160" si="27">J154-H154</f>
        <v>1071.3100000000004</v>
      </c>
    </row>
    <row r="155" spans="1:12" x14ac:dyDescent="0.25">
      <c r="A155" s="909"/>
      <c r="B155" s="935" t="s">
        <v>669</v>
      </c>
      <c r="C155" s="933"/>
      <c r="D155" s="915">
        <f>'Sch M 2.2'!Q898</f>
        <v>4787.7999999999993</v>
      </c>
      <c r="E155" s="929">
        <f t="shared" si="25"/>
        <v>2.2665999999999999</v>
      </c>
      <c r="F155" s="917">
        <f>ROUND(E155*D155,2)</f>
        <v>10852.03</v>
      </c>
      <c r="G155" s="917"/>
      <c r="H155" s="917">
        <f t="shared" si="26"/>
        <v>10852.03</v>
      </c>
      <c r="I155" s="920">
        <f>I86</f>
        <v>3.0331999999999999</v>
      </c>
      <c r="J155" s="921">
        <f>ROUND(I155*D155,2)</f>
        <v>14522.35</v>
      </c>
      <c r="K155" s="917">
        <f t="shared" si="27"/>
        <v>3670.3199999999997</v>
      </c>
    </row>
    <row r="156" spans="1:12" x14ac:dyDescent="0.25">
      <c r="A156" s="909"/>
      <c r="B156" s="935" t="s">
        <v>670</v>
      </c>
      <c r="C156" s="933"/>
      <c r="D156" s="915">
        <f>'Sch M 2.2'!Q899</f>
        <v>21109</v>
      </c>
      <c r="E156" s="929">
        <f t="shared" si="25"/>
        <v>1.752</v>
      </c>
      <c r="F156" s="917">
        <f>ROUND(E156*D156,2)</f>
        <v>36982.97</v>
      </c>
      <c r="G156" s="917"/>
      <c r="H156" s="917">
        <f t="shared" si="26"/>
        <v>36982.97</v>
      </c>
      <c r="I156" s="920">
        <f>I87</f>
        <v>2.3445999999999998</v>
      </c>
      <c r="J156" s="921">
        <f>ROUND(I156*D156,2)</f>
        <v>49492.160000000003</v>
      </c>
      <c r="K156" s="917">
        <f t="shared" si="27"/>
        <v>12509.190000000002</v>
      </c>
    </row>
    <row r="157" spans="1:12" x14ac:dyDescent="0.25">
      <c r="A157" s="909"/>
      <c r="B157" s="935" t="s">
        <v>671</v>
      </c>
      <c r="C157" s="933"/>
      <c r="D157" s="915">
        <f>'Sch M 2.2'!Q900</f>
        <v>20909.699999999997</v>
      </c>
      <c r="E157" s="929">
        <f t="shared" si="25"/>
        <v>1.6658999999999999</v>
      </c>
      <c r="F157" s="917">
        <f>ROUND(E157*D157,2)</f>
        <v>34833.47</v>
      </c>
      <c r="G157" s="917"/>
      <c r="H157" s="917">
        <f t="shared" si="26"/>
        <v>34833.47</v>
      </c>
      <c r="I157" s="920">
        <f>I88</f>
        <v>2.2294</v>
      </c>
      <c r="J157" s="921">
        <f>ROUND(I157*D157,2)</f>
        <v>46616.09</v>
      </c>
      <c r="K157" s="917">
        <f t="shared" si="27"/>
        <v>11782.619999999995</v>
      </c>
    </row>
    <row r="158" spans="1:12" x14ac:dyDescent="0.25">
      <c r="A158" s="909"/>
      <c r="B158" s="894" t="s">
        <v>672</v>
      </c>
      <c r="C158" s="933"/>
      <c r="D158" s="915">
        <f>'Sch M 2.2'!Q901</f>
        <v>25193.400000000005</v>
      </c>
      <c r="E158" s="929">
        <f t="shared" si="25"/>
        <v>1.5164</v>
      </c>
      <c r="F158" s="917">
        <f>ROUND(E158*D158,2)</f>
        <v>38203.269999999997</v>
      </c>
      <c r="G158" s="917"/>
      <c r="H158" s="917">
        <f t="shared" si="26"/>
        <v>38203.269999999997</v>
      </c>
      <c r="I158" s="920">
        <f>I89</f>
        <v>2.0294000000000003</v>
      </c>
      <c r="J158" s="921">
        <f>ROUND(I158*D158,2)</f>
        <v>51127.49</v>
      </c>
      <c r="K158" s="917">
        <f t="shared" si="27"/>
        <v>12924.220000000001</v>
      </c>
    </row>
    <row r="159" spans="1:12" x14ac:dyDescent="0.25">
      <c r="A159" s="909"/>
      <c r="B159" s="894" t="s">
        <v>193</v>
      </c>
      <c r="C159" s="933"/>
      <c r="D159" s="932"/>
      <c r="E159" s="938">
        <f t="shared" si="25"/>
        <v>8.02</v>
      </c>
      <c r="F159" s="924">
        <f>ROUND(C154*E159,2)</f>
        <v>1194.98</v>
      </c>
      <c r="G159" s="924"/>
      <c r="H159" s="924">
        <f t="shared" si="26"/>
        <v>1194.98</v>
      </c>
      <c r="I159" s="928">
        <f>I150</f>
        <v>0</v>
      </c>
      <c r="J159" s="943">
        <f>ROUND(C154*I159,2)</f>
        <v>0</v>
      </c>
      <c r="K159" s="924">
        <f t="shared" si="27"/>
        <v>-1194.98</v>
      </c>
    </row>
    <row r="160" spans="1:12" x14ac:dyDescent="0.25">
      <c r="A160" s="909"/>
      <c r="B160" s="910" t="s">
        <v>9</v>
      </c>
      <c r="C160" s="910"/>
      <c r="D160" s="915">
        <f>SUM(D155:D158)</f>
        <v>71999.900000000009</v>
      </c>
      <c r="E160" s="925"/>
      <c r="F160" s="921">
        <f>SUM(F154:F159)</f>
        <v>127654.21999999999</v>
      </c>
      <c r="G160" s="921"/>
      <c r="H160" s="921">
        <f>SUM(H154:H159)</f>
        <v>127654.21999999999</v>
      </c>
      <c r="I160" s="920"/>
      <c r="J160" s="921">
        <f>SUM(J154:J159)</f>
        <v>168416.9</v>
      </c>
      <c r="K160" s="917">
        <f t="shared" si="27"/>
        <v>40762.680000000008</v>
      </c>
      <c r="L160" s="926"/>
    </row>
    <row r="161" spans="1:13" x14ac:dyDescent="0.25">
      <c r="A161" s="909"/>
      <c r="B161" s="910"/>
      <c r="C161" s="910"/>
      <c r="D161" s="915"/>
      <c r="E161" s="925"/>
      <c r="F161" s="921"/>
      <c r="G161" s="921"/>
      <c r="H161" s="921"/>
      <c r="I161" s="920"/>
      <c r="J161" s="921"/>
      <c r="K161" s="917"/>
      <c r="L161" s="926"/>
    </row>
    <row r="162" spans="1:13" x14ac:dyDescent="0.25">
      <c r="A162" s="1005" t="str">
        <f>$A$1</f>
        <v>PSC Case No. 2016-00162</v>
      </c>
      <c r="B162" s="1005"/>
      <c r="C162" s="1005"/>
      <c r="D162" s="1005"/>
      <c r="E162" s="1005"/>
      <c r="F162" s="1005"/>
      <c r="G162" s="1005"/>
      <c r="H162" s="1005"/>
      <c r="I162" s="1005"/>
      <c r="J162" s="1005"/>
      <c r="K162" s="1005"/>
      <c r="L162" s="1005"/>
    </row>
    <row r="163" spans="1:13" x14ac:dyDescent="0.25">
      <c r="A163" s="1005" t="s">
        <v>677</v>
      </c>
      <c r="B163" s="1005"/>
      <c r="C163" s="1005"/>
      <c r="D163" s="1005"/>
      <c r="E163" s="1005"/>
      <c r="F163" s="1005"/>
      <c r="G163" s="1005"/>
      <c r="H163" s="1005"/>
      <c r="I163" s="1005"/>
      <c r="J163" s="1005"/>
      <c r="K163" s="1005"/>
      <c r="L163" s="1005"/>
      <c r="M163" s="895"/>
    </row>
    <row r="164" spans="1:13" x14ac:dyDescent="0.25">
      <c r="A164" s="1006" t="s">
        <v>36</v>
      </c>
      <c r="B164" s="1006"/>
      <c r="C164" s="1006"/>
      <c r="D164" s="1006"/>
      <c r="E164" s="1006"/>
      <c r="F164" s="1006"/>
      <c r="G164" s="1006"/>
      <c r="H164" s="1006"/>
      <c r="I164" s="1006"/>
      <c r="J164" s="1006"/>
      <c r="K164" s="1006"/>
    </row>
    <row r="165" spans="1:13" x14ac:dyDescent="0.25">
      <c r="A165" s="1006" t="str">
        <f>A4</f>
        <v>Case No. 2016-00162</v>
      </c>
      <c r="B165" s="1006"/>
      <c r="C165" s="1006"/>
      <c r="D165" s="1006"/>
      <c r="E165" s="1006"/>
      <c r="F165" s="1006"/>
      <c r="G165" s="1006"/>
      <c r="H165" s="1006"/>
      <c r="I165" s="1006"/>
      <c r="J165" s="1006"/>
      <c r="K165" s="1006"/>
    </row>
    <row r="166" spans="1:13" x14ac:dyDescent="0.25">
      <c r="A166" s="1006" t="s">
        <v>654</v>
      </c>
      <c r="B166" s="1006"/>
      <c r="C166" s="1006"/>
      <c r="D166" s="1006"/>
      <c r="E166" s="1006"/>
      <c r="F166" s="1006"/>
      <c r="G166" s="1006"/>
      <c r="H166" s="1006"/>
      <c r="I166" s="1006"/>
      <c r="J166" s="1006"/>
      <c r="K166" s="1006"/>
    </row>
    <row r="167" spans="1:13" x14ac:dyDescent="0.25">
      <c r="G167" s="896" t="s">
        <v>392</v>
      </c>
    </row>
    <row r="168" spans="1:13" x14ac:dyDescent="0.25">
      <c r="A168" s="896" t="s">
        <v>0</v>
      </c>
      <c r="B168" s="896" t="s">
        <v>655</v>
      </c>
      <c r="C168" s="898" t="s">
        <v>656</v>
      </c>
      <c r="D168" s="899" t="s">
        <v>26</v>
      </c>
      <c r="E168" s="896" t="s">
        <v>68</v>
      </c>
      <c r="F168" s="896" t="s">
        <v>657</v>
      </c>
      <c r="G168" s="896" t="s">
        <v>396</v>
      </c>
      <c r="H168" s="896" t="s">
        <v>20</v>
      </c>
      <c r="I168" s="900" t="s">
        <v>30</v>
      </c>
      <c r="J168" s="896" t="s">
        <v>658</v>
      </c>
      <c r="K168" s="896" t="s">
        <v>20</v>
      </c>
      <c r="L168" s="896"/>
    </row>
    <row r="169" spans="1:13" x14ac:dyDescent="0.25">
      <c r="A169" s="901" t="s">
        <v>40</v>
      </c>
      <c r="B169" s="901" t="s">
        <v>4</v>
      </c>
      <c r="C169" s="902" t="s">
        <v>659</v>
      </c>
      <c r="D169" s="903" t="s">
        <v>28</v>
      </c>
      <c r="E169" s="901" t="s">
        <v>48</v>
      </c>
      <c r="F169" s="901" t="s">
        <v>20</v>
      </c>
      <c r="G169" s="901" t="s">
        <v>393</v>
      </c>
      <c r="H169" s="901" t="s">
        <v>5</v>
      </c>
      <c r="I169" s="904" t="s">
        <v>48</v>
      </c>
      <c r="J169" s="901" t="s">
        <v>20</v>
      </c>
      <c r="K169" s="901" t="s">
        <v>147</v>
      </c>
      <c r="L169" s="901"/>
    </row>
    <row r="170" spans="1:13" x14ac:dyDescent="0.25">
      <c r="C170" s="905"/>
      <c r="D170" s="906"/>
      <c r="E170" s="907" t="s">
        <v>660</v>
      </c>
      <c r="F170" s="907" t="s">
        <v>60</v>
      </c>
      <c r="G170" s="907" t="s">
        <v>60</v>
      </c>
      <c r="H170" s="907" t="s">
        <v>60</v>
      </c>
      <c r="I170" s="908" t="s">
        <v>660</v>
      </c>
      <c r="J170" s="907" t="s">
        <v>60</v>
      </c>
      <c r="K170" s="907" t="s">
        <v>60</v>
      </c>
      <c r="L170" s="907"/>
    </row>
    <row r="171" spans="1:13" x14ac:dyDescent="0.25">
      <c r="A171" s="909"/>
      <c r="B171" s="940" t="s">
        <v>95</v>
      </c>
      <c r="C171" s="910"/>
      <c r="D171" s="915"/>
      <c r="E171" s="925"/>
      <c r="F171" s="921"/>
      <c r="I171" s="920"/>
      <c r="J171" s="921"/>
      <c r="K171" s="917"/>
      <c r="L171" s="926"/>
    </row>
    <row r="172" spans="1:13" x14ac:dyDescent="0.25">
      <c r="A172" s="909"/>
      <c r="B172" s="910"/>
      <c r="C172" s="910"/>
      <c r="D172" s="915"/>
      <c r="E172" s="925"/>
      <c r="F172" s="921"/>
      <c r="G172" s="921"/>
      <c r="H172" s="921"/>
      <c r="I172" s="920"/>
      <c r="J172" s="921"/>
      <c r="K172" s="917"/>
      <c r="L172" s="926"/>
    </row>
    <row r="173" spans="1:13" x14ac:dyDescent="0.25">
      <c r="A173" s="909"/>
      <c r="B173" s="910"/>
      <c r="C173" s="910"/>
      <c r="D173" s="915"/>
      <c r="E173" s="925"/>
      <c r="F173" s="921"/>
      <c r="G173" s="921"/>
      <c r="H173" s="921"/>
      <c r="I173" s="920"/>
      <c r="J173" s="921"/>
      <c r="K173" s="917"/>
      <c r="L173" s="926"/>
    </row>
    <row r="174" spans="1:13" x14ac:dyDescent="0.25">
      <c r="A174" s="909" t="s">
        <v>161</v>
      </c>
      <c r="B174" s="894" t="s">
        <v>162</v>
      </c>
      <c r="C174" s="905"/>
      <c r="D174" s="906"/>
      <c r="E174" s="911"/>
      <c r="F174" s="912"/>
      <c r="G174" s="912"/>
      <c r="H174" s="912"/>
      <c r="I174" s="930"/>
      <c r="J174" s="931"/>
      <c r="K174" s="927"/>
    </row>
    <row r="175" spans="1:13" x14ac:dyDescent="0.25">
      <c r="A175" s="909"/>
      <c r="B175" s="894" t="s">
        <v>662</v>
      </c>
      <c r="C175" s="910">
        <f>'Sch M 2.2'!Q938</f>
        <v>428</v>
      </c>
      <c r="D175" s="934"/>
      <c r="E175" s="938">
        <f>'Sch M 2.2'!D939</f>
        <v>1007.05</v>
      </c>
      <c r="F175" s="917">
        <f>ROUND(E175*C175,2)</f>
        <v>431017.4</v>
      </c>
      <c r="G175" s="917"/>
      <c r="H175" s="917">
        <f t="shared" ref="H175:H180" si="28">F175+G175</f>
        <v>431017.4</v>
      </c>
      <c r="I175" s="928">
        <f>I118</f>
        <v>2007</v>
      </c>
      <c r="J175" s="917">
        <f>ROUND(I175*C175,2)</f>
        <v>858996</v>
      </c>
      <c r="K175" s="917">
        <f t="shared" ref="K175:K180" si="29">J175-H175</f>
        <v>427978.6</v>
      </c>
    </row>
    <row r="176" spans="1:13" x14ac:dyDescent="0.25">
      <c r="A176" s="909"/>
      <c r="B176" s="894" t="s">
        <v>678</v>
      </c>
      <c r="C176" s="910">
        <f>C175</f>
        <v>428</v>
      </c>
      <c r="D176" s="934"/>
      <c r="E176" s="938">
        <f>'Sch M 2.2'!D940</f>
        <v>55.9</v>
      </c>
      <c r="F176" s="917">
        <f>ROUND(E176*C176,2)</f>
        <v>23925.200000000001</v>
      </c>
      <c r="G176" s="917"/>
      <c r="H176" s="917">
        <f t="shared" si="28"/>
        <v>23925.200000000001</v>
      </c>
      <c r="I176" s="928">
        <f>'Sch M 2.3'!D937</f>
        <v>0</v>
      </c>
      <c r="J176" s="917">
        <f>ROUND(I176*C176,2)</f>
        <v>0</v>
      </c>
      <c r="K176" s="917">
        <f t="shared" si="29"/>
        <v>-23925.200000000001</v>
      </c>
    </row>
    <row r="177" spans="1:12" x14ac:dyDescent="0.25">
      <c r="A177" s="909"/>
      <c r="B177" s="894" t="s">
        <v>679</v>
      </c>
      <c r="C177" s="905"/>
      <c r="D177" s="915">
        <f>'Sch M 2.2'!Q944</f>
        <v>1380569.9999999998</v>
      </c>
      <c r="E177" s="929">
        <f>'Sch M 2.2'!D949</f>
        <v>0.54430000000000001</v>
      </c>
      <c r="F177" s="917">
        <f>ROUND(E177*D177,2)</f>
        <v>751444.25</v>
      </c>
      <c r="G177" s="917"/>
      <c r="H177" s="917">
        <f t="shared" si="28"/>
        <v>751444.25</v>
      </c>
      <c r="I177" s="920">
        <f>I119</f>
        <v>0.6321</v>
      </c>
      <c r="J177" s="917">
        <f>ROUND(I177*D177,2)</f>
        <v>872658.3</v>
      </c>
      <c r="K177" s="917">
        <f t="shared" si="29"/>
        <v>121214.05000000005</v>
      </c>
    </row>
    <row r="178" spans="1:12" x14ac:dyDescent="0.25">
      <c r="A178" s="909"/>
      <c r="B178" s="935" t="s">
        <v>675</v>
      </c>
      <c r="C178" s="905"/>
      <c r="D178" s="915">
        <f>'Sch M 2.2'!Q945</f>
        <v>0</v>
      </c>
      <c r="E178" s="929">
        <f>'Sch M 2.2'!D950</f>
        <v>0.28899999999999998</v>
      </c>
      <c r="F178" s="917">
        <f>ROUND(E178*D178,2)</f>
        <v>0</v>
      </c>
      <c r="G178" s="917"/>
      <c r="H178" s="917">
        <f t="shared" si="28"/>
        <v>0</v>
      </c>
      <c r="I178" s="920">
        <f>I120</f>
        <v>0.37730000000000002</v>
      </c>
      <c r="J178" s="917">
        <f>ROUND(I178*D178,2)</f>
        <v>0</v>
      </c>
      <c r="K178" s="917">
        <f t="shared" si="29"/>
        <v>0</v>
      </c>
    </row>
    <row r="179" spans="1:12" x14ac:dyDescent="0.25">
      <c r="A179" s="909"/>
      <c r="B179" s="894" t="s">
        <v>680</v>
      </c>
      <c r="C179" s="905"/>
      <c r="D179" s="915">
        <f>'Sch M 2.2'!Q946</f>
        <v>0</v>
      </c>
      <c r="E179" s="929">
        <f>'Sch M 2.2'!D951</f>
        <v>0.28899999999999998</v>
      </c>
      <c r="F179" s="917">
        <f>ROUND(E179*D179,2)</f>
        <v>0</v>
      </c>
      <c r="G179" s="917"/>
      <c r="H179" s="917">
        <f t="shared" si="28"/>
        <v>0</v>
      </c>
      <c r="I179" s="920">
        <f>I121</f>
        <v>0.32829999999999998</v>
      </c>
      <c r="J179" s="917">
        <f>ROUND(I179*D179,2)</f>
        <v>0</v>
      </c>
      <c r="K179" s="917">
        <f t="shared" si="29"/>
        <v>0</v>
      </c>
    </row>
    <row r="180" spans="1:12" x14ac:dyDescent="0.25">
      <c r="A180" s="909"/>
      <c r="B180" s="894" t="s">
        <v>193</v>
      </c>
      <c r="C180" s="905"/>
      <c r="D180" s="932"/>
      <c r="E180" s="938">
        <f>'Sch M 2.2'!D941</f>
        <v>449.59</v>
      </c>
      <c r="F180" s="924">
        <f>ROUND(C175*E180,2)</f>
        <v>192424.52</v>
      </c>
      <c r="G180" s="924"/>
      <c r="H180" s="924">
        <f t="shared" si="28"/>
        <v>192424.52</v>
      </c>
      <c r="I180" s="920">
        <f>'Sch M 2.3'!D938</f>
        <v>0</v>
      </c>
      <c r="J180" s="924">
        <f>ROUND(C175*I180,2)</f>
        <v>0</v>
      </c>
      <c r="K180" s="924">
        <f t="shared" si="29"/>
        <v>-192424.52</v>
      </c>
    </row>
    <row r="181" spans="1:12" x14ac:dyDescent="0.25">
      <c r="A181" s="909"/>
      <c r="B181" s="894" t="s">
        <v>9</v>
      </c>
      <c r="C181" s="905"/>
      <c r="D181" s="915">
        <f>SUM(D177:D179)</f>
        <v>1380569.9999999998</v>
      </c>
      <c r="E181" s="911"/>
      <c r="F181" s="917">
        <f>SUM(F175:F180)</f>
        <v>1398811.37</v>
      </c>
      <c r="G181" s="917"/>
      <c r="H181" s="921">
        <f>SUM(H174:H180)</f>
        <v>1398811.37</v>
      </c>
      <c r="I181" s="930"/>
      <c r="J181" s="917">
        <f>SUM(J175:J180)</f>
        <v>1731654.3</v>
      </c>
      <c r="K181" s="917">
        <f>SUM(K175:K180)</f>
        <v>332842.92999999993</v>
      </c>
      <c r="L181" s="926"/>
    </row>
    <row r="182" spans="1:12" x14ac:dyDescent="0.25">
      <c r="A182" s="909"/>
      <c r="C182" s="905"/>
      <c r="D182" s="915"/>
      <c r="E182" s="911"/>
      <c r="F182" s="917"/>
      <c r="G182" s="917"/>
      <c r="H182" s="917"/>
      <c r="I182" s="930"/>
      <c r="J182" s="917"/>
      <c r="K182" s="917"/>
      <c r="L182" s="926"/>
    </row>
    <row r="183" spans="1:12" x14ac:dyDescent="0.25">
      <c r="A183" s="909" t="s">
        <v>161</v>
      </c>
      <c r="B183" s="894" t="s">
        <v>681</v>
      </c>
      <c r="C183" s="905"/>
      <c r="D183" s="906"/>
      <c r="E183" s="911"/>
      <c r="F183" s="912"/>
      <c r="G183" s="912"/>
      <c r="H183" s="912"/>
      <c r="I183" s="930"/>
      <c r="J183" s="931"/>
      <c r="K183" s="927"/>
    </row>
    <row r="184" spans="1:12" x14ac:dyDescent="0.25">
      <c r="A184" s="909"/>
      <c r="B184" s="894" t="s">
        <v>662</v>
      </c>
      <c r="C184" s="910">
        <f>'Sch M 2.2'!Q965</f>
        <v>468</v>
      </c>
      <c r="D184" s="906"/>
      <c r="E184" s="938">
        <f>'Sch M 2.2'!D966</f>
        <v>1007.05</v>
      </c>
      <c r="F184" s="917">
        <f>ROUND(E184*C184,2)</f>
        <v>471299.4</v>
      </c>
      <c r="G184" s="917"/>
      <c r="H184" s="917">
        <f t="shared" ref="H184:H189" si="30">F184+G184</f>
        <v>471299.4</v>
      </c>
      <c r="I184" s="928">
        <f t="shared" ref="I184:I189" si="31">I175</f>
        <v>2007</v>
      </c>
      <c r="J184" s="917">
        <f>ROUND(I184*C184,2)</f>
        <v>939276</v>
      </c>
      <c r="K184" s="917">
        <f t="shared" ref="K184:K189" si="32">J184-H184</f>
        <v>467976.6</v>
      </c>
    </row>
    <row r="185" spans="1:12" x14ac:dyDescent="0.25">
      <c r="A185" s="909"/>
      <c r="B185" s="894" t="s">
        <v>678</v>
      </c>
      <c r="C185" s="910">
        <f>C184</f>
        <v>468</v>
      </c>
      <c r="D185" s="906"/>
      <c r="E185" s="938">
        <f>'Sch M 2.2'!D967</f>
        <v>55.9</v>
      </c>
      <c r="F185" s="917">
        <f>ROUND(E185*C185,2)</f>
        <v>26161.200000000001</v>
      </c>
      <c r="G185" s="917"/>
      <c r="H185" s="917">
        <f t="shared" si="30"/>
        <v>26161.200000000001</v>
      </c>
      <c r="I185" s="928">
        <f t="shared" si="31"/>
        <v>0</v>
      </c>
      <c r="J185" s="917">
        <f>ROUND(I185*C185,2)</f>
        <v>0</v>
      </c>
      <c r="K185" s="917">
        <f t="shared" si="32"/>
        <v>-26161.200000000001</v>
      </c>
    </row>
    <row r="186" spans="1:12" x14ac:dyDescent="0.25">
      <c r="A186" s="909"/>
      <c r="B186" s="894" t="s">
        <v>679</v>
      </c>
      <c r="C186" s="905"/>
      <c r="D186" s="915">
        <f>'Sch M 2.2'!Q971</f>
        <v>3603981.4</v>
      </c>
      <c r="E186" s="929">
        <f>'Sch M 2.2'!D976</f>
        <v>0.54430000000000001</v>
      </c>
      <c r="F186" s="917">
        <f>ROUND(E186*D186,2)</f>
        <v>1961647.08</v>
      </c>
      <c r="G186" s="917"/>
      <c r="H186" s="917">
        <f t="shared" si="30"/>
        <v>1961647.08</v>
      </c>
      <c r="I186" s="920">
        <f t="shared" si="31"/>
        <v>0.6321</v>
      </c>
      <c r="J186" s="917">
        <f>ROUND(I186*D186,2)</f>
        <v>2278076.64</v>
      </c>
      <c r="K186" s="917">
        <f t="shared" si="32"/>
        <v>316429.56000000006</v>
      </c>
    </row>
    <row r="187" spans="1:12" x14ac:dyDescent="0.25">
      <c r="A187" s="909"/>
      <c r="B187" s="935" t="s">
        <v>675</v>
      </c>
      <c r="C187" s="905"/>
      <c r="D187" s="915">
        <f>'Sch M 2.2'!Q972</f>
        <v>1347784</v>
      </c>
      <c r="E187" s="929">
        <f>'Sch M 2.2'!D977</f>
        <v>0.28899999999999998</v>
      </c>
      <c r="F187" s="917">
        <f>ROUND(E187*D187,2)</f>
        <v>389509.58</v>
      </c>
      <c r="G187" s="917"/>
      <c r="H187" s="917">
        <f t="shared" si="30"/>
        <v>389509.58</v>
      </c>
      <c r="I187" s="920">
        <f t="shared" si="31"/>
        <v>0.37730000000000002</v>
      </c>
      <c r="J187" s="917">
        <f>ROUND(I187*D187,2)</f>
        <v>508518.9</v>
      </c>
      <c r="K187" s="917">
        <f t="shared" si="32"/>
        <v>119009.32</v>
      </c>
    </row>
    <row r="188" spans="1:12" x14ac:dyDescent="0.25">
      <c r="A188" s="909"/>
      <c r="B188" s="894" t="s">
        <v>680</v>
      </c>
      <c r="C188" s="905"/>
      <c r="D188" s="915">
        <f>'Sch M 2.2'!Q973</f>
        <v>565532</v>
      </c>
      <c r="E188" s="929">
        <f>'Sch M 2.2'!D978</f>
        <v>0.28899999999999998</v>
      </c>
      <c r="F188" s="917">
        <f>ROUND(E188*D188,2)</f>
        <v>163438.75</v>
      </c>
      <c r="G188" s="917"/>
      <c r="H188" s="917">
        <f t="shared" si="30"/>
        <v>163438.75</v>
      </c>
      <c r="I188" s="920">
        <f t="shared" si="31"/>
        <v>0.32829999999999998</v>
      </c>
      <c r="J188" s="917">
        <f>ROUND(I188*D188,2)</f>
        <v>185664.16</v>
      </c>
      <c r="K188" s="917">
        <f t="shared" si="32"/>
        <v>22225.410000000003</v>
      </c>
    </row>
    <row r="189" spans="1:12" x14ac:dyDescent="0.25">
      <c r="A189" s="909"/>
      <c r="B189" s="894" t="s">
        <v>193</v>
      </c>
      <c r="C189" s="905"/>
      <c r="D189" s="939"/>
      <c r="E189" s="938">
        <f>'Sch M 2.2'!D968</f>
        <v>449.59</v>
      </c>
      <c r="F189" s="924">
        <f>ROUND(C184*E189,2)</f>
        <v>210408.12</v>
      </c>
      <c r="G189" s="924"/>
      <c r="H189" s="924">
        <f t="shared" si="30"/>
        <v>210408.12</v>
      </c>
      <c r="I189" s="920">
        <f t="shared" si="31"/>
        <v>0</v>
      </c>
      <c r="J189" s="924">
        <f>ROUND(C184*I189,2)</f>
        <v>0</v>
      </c>
      <c r="K189" s="924">
        <f t="shared" si="32"/>
        <v>-210408.12</v>
      </c>
    </row>
    <row r="190" spans="1:12" x14ac:dyDescent="0.25">
      <c r="A190" s="909"/>
      <c r="B190" s="894" t="s">
        <v>9</v>
      </c>
      <c r="C190" s="905"/>
      <c r="D190" s="915">
        <f>SUM(D186:D188)</f>
        <v>5517297.4000000004</v>
      </c>
      <c r="E190" s="911"/>
      <c r="F190" s="917">
        <f>SUM(F184:F189)</f>
        <v>3222464.1300000004</v>
      </c>
      <c r="G190" s="917"/>
      <c r="H190" s="921">
        <f>SUM(H183:H189)</f>
        <v>3222464.1300000004</v>
      </c>
      <c r="I190" s="930"/>
      <c r="J190" s="917">
        <f>SUM(J184:J189)</f>
        <v>3911535.7</v>
      </c>
      <c r="K190" s="917">
        <f>SUM(K184:K189)</f>
        <v>689071.57000000007</v>
      </c>
      <c r="L190" s="926"/>
    </row>
    <row r="191" spans="1:12" x14ac:dyDescent="0.25">
      <c r="A191" s="909"/>
      <c r="C191" s="905"/>
      <c r="D191" s="915"/>
      <c r="E191" s="911"/>
      <c r="F191" s="917"/>
      <c r="G191" s="917"/>
      <c r="H191" s="917"/>
      <c r="I191" s="930"/>
      <c r="J191" s="917"/>
      <c r="K191" s="917"/>
      <c r="L191" s="926"/>
    </row>
    <row r="192" spans="1:12" x14ac:dyDescent="0.25">
      <c r="A192" s="909" t="s">
        <v>164</v>
      </c>
      <c r="B192" s="894" t="s">
        <v>165</v>
      </c>
      <c r="C192" s="905"/>
      <c r="D192" s="915"/>
      <c r="E192" s="911"/>
      <c r="F192" s="917"/>
      <c r="G192" s="917"/>
      <c r="H192" s="917"/>
      <c r="I192" s="930"/>
      <c r="J192" s="917"/>
      <c r="K192" s="917"/>
      <c r="L192" s="926"/>
    </row>
    <row r="193" spans="1:12" x14ac:dyDescent="0.25">
      <c r="A193" s="909"/>
      <c r="B193" s="894" t="s">
        <v>662</v>
      </c>
      <c r="C193" s="910">
        <f>'Sch M 2.2'!Q1008</f>
        <v>145</v>
      </c>
      <c r="D193" s="934"/>
      <c r="E193" s="938">
        <f>'Sch M 2.2'!D1009</f>
        <v>37.5</v>
      </c>
      <c r="F193" s="917">
        <f>ROUND(E193*C193,2)</f>
        <v>5437.5</v>
      </c>
      <c r="G193" s="917"/>
      <c r="H193" s="917">
        <f t="shared" ref="H193:H199" si="33">F193+G193</f>
        <v>5437.5</v>
      </c>
      <c r="I193" s="928">
        <f>I145</f>
        <v>44.69</v>
      </c>
      <c r="J193" s="917">
        <f>ROUND(I193*C193,2)</f>
        <v>6480.05</v>
      </c>
      <c r="K193" s="917">
        <f t="shared" ref="K193:K200" si="34">J193-H193</f>
        <v>1042.5500000000002</v>
      </c>
      <c r="L193" s="926"/>
    </row>
    <row r="194" spans="1:12" x14ac:dyDescent="0.25">
      <c r="A194" s="909"/>
      <c r="B194" s="894" t="s">
        <v>678</v>
      </c>
      <c r="C194" s="910">
        <f>C193</f>
        <v>145</v>
      </c>
      <c r="D194" s="934"/>
      <c r="E194" s="938">
        <f>'Sch M 2.2'!D1010</f>
        <v>55.9</v>
      </c>
      <c r="F194" s="917">
        <f>ROUND(E194*C194,2)</f>
        <v>8105.5</v>
      </c>
      <c r="G194" s="917"/>
      <c r="H194" s="917">
        <f t="shared" si="33"/>
        <v>8105.5</v>
      </c>
      <c r="I194" s="928">
        <f>'Sch M 2.3'!D1007</f>
        <v>0</v>
      </c>
      <c r="J194" s="921">
        <f>ROUND(I194*C194,2)</f>
        <v>0</v>
      </c>
      <c r="K194" s="917">
        <f t="shared" si="34"/>
        <v>-8105.5</v>
      </c>
    </row>
    <row r="195" spans="1:12" x14ac:dyDescent="0.25">
      <c r="A195" s="909"/>
      <c r="B195" s="935" t="s">
        <v>669</v>
      </c>
      <c r="C195" s="905"/>
      <c r="D195" s="915">
        <f>'Sch M 2.2'!Q1014</f>
        <v>7150</v>
      </c>
      <c r="E195" s="929">
        <f>'Sch M 2.2'!D1020</f>
        <v>2.2665999999999999</v>
      </c>
      <c r="F195" s="917">
        <f>ROUND(E195*D195,2)</f>
        <v>16206.19</v>
      </c>
      <c r="G195" s="917"/>
      <c r="H195" s="917">
        <f t="shared" si="33"/>
        <v>16206.19</v>
      </c>
      <c r="I195" s="920">
        <f>I146</f>
        <v>3.0331999999999999</v>
      </c>
      <c r="J195" s="921">
        <f>ROUND(I195*D195,2)</f>
        <v>21687.38</v>
      </c>
      <c r="K195" s="917">
        <f t="shared" si="34"/>
        <v>5481.1900000000005</v>
      </c>
    </row>
    <row r="196" spans="1:12" x14ac:dyDescent="0.25">
      <c r="A196" s="909"/>
      <c r="B196" s="935" t="s">
        <v>670</v>
      </c>
      <c r="C196" s="905"/>
      <c r="D196" s="915">
        <f>'Sch M 2.2'!Q1015</f>
        <v>49008.2</v>
      </c>
      <c r="E196" s="929">
        <f>'Sch M 2.2'!D1021</f>
        <v>1.752</v>
      </c>
      <c r="F196" s="917">
        <f>ROUND(E196*D196,2)</f>
        <v>85862.37</v>
      </c>
      <c r="G196" s="917"/>
      <c r="H196" s="917">
        <f t="shared" si="33"/>
        <v>85862.37</v>
      </c>
      <c r="I196" s="920">
        <f>I147</f>
        <v>2.3445999999999998</v>
      </c>
      <c r="J196" s="921">
        <f>ROUND(I196*D196,2)</f>
        <v>114904.63</v>
      </c>
      <c r="K196" s="917">
        <f t="shared" si="34"/>
        <v>29042.260000000009</v>
      </c>
    </row>
    <row r="197" spans="1:12" x14ac:dyDescent="0.25">
      <c r="A197" s="909"/>
      <c r="B197" s="935" t="s">
        <v>671</v>
      </c>
      <c r="C197" s="905"/>
      <c r="D197" s="915">
        <f>'Sch M 2.2'!Q1016</f>
        <v>71743.7</v>
      </c>
      <c r="E197" s="929">
        <f>'Sch M 2.2'!D1022</f>
        <v>1.6658999999999999</v>
      </c>
      <c r="F197" s="917">
        <f>ROUND(E197*D197,2)</f>
        <v>119517.83</v>
      </c>
      <c r="G197" s="917"/>
      <c r="H197" s="917">
        <f t="shared" si="33"/>
        <v>119517.83</v>
      </c>
      <c r="I197" s="920">
        <f>I148</f>
        <v>2.2294</v>
      </c>
      <c r="J197" s="921">
        <f>ROUND(I197*D197,2)</f>
        <v>159945.4</v>
      </c>
      <c r="K197" s="917">
        <f t="shared" si="34"/>
        <v>40427.569999999992</v>
      </c>
    </row>
    <row r="198" spans="1:12" x14ac:dyDescent="0.25">
      <c r="A198" s="909"/>
      <c r="B198" s="894" t="s">
        <v>672</v>
      </c>
      <c r="C198" s="905"/>
      <c r="D198" s="915">
        <f>'Sch M 2.2'!Q1017</f>
        <v>75728.600000000006</v>
      </c>
      <c r="E198" s="929">
        <f>'Sch M 2.2'!D1023</f>
        <v>1.5164</v>
      </c>
      <c r="F198" s="917">
        <f>ROUND(E198*D198,2)</f>
        <v>114834.85</v>
      </c>
      <c r="G198" s="917"/>
      <c r="H198" s="917">
        <f t="shared" si="33"/>
        <v>114834.85</v>
      </c>
      <c r="I198" s="920">
        <f>I149</f>
        <v>2.0294000000000003</v>
      </c>
      <c r="J198" s="921">
        <f>ROUND(I198*D198,2)</f>
        <v>153683.62</v>
      </c>
      <c r="K198" s="917">
        <f t="shared" si="34"/>
        <v>38848.76999999999</v>
      </c>
    </row>
    <row r="199" spans="1:12" x14ac:dyDescent="0.25">
      <c r="A199" s="909"/>
      <c r="B199" s="894" t="s">
        <v>193</v>
      </c>
      <c r="C199" s="905"/>
      <c r="D199" s="932"/>
      <c r="E199" s="938">
        <f>'Sch M 2.2'!D1011</f>
        <v>8.02</v>
      </c>
      <c r="F199" s="924">
        <f>ROUND(C193*E199,2)</f>
        <v>1162.9000000000001</v>
      </c>
      <c r="G199" s="924"/>
      <c r="H199" s="924">
        <f t="shared" si="33"/>
        <v>1162.9000000000001</v>
      </c>
      <c r="I199" s="928">
        <f>'Sch M 2.3'!D1008</f>
        <v>0</v>
      </c>
      <c r="J199" s="943">
        <f>ROUND(C193*I199,2)</f>
        <v>0</v>
      </c>
      <c r="K199" s="924">
        <f t="shared" si="34"/>
        <v>-1162.9000000000001</v>
      </c>
    </row>
    <row r="200" spans="1:12" x14ac:dyDescent="0.25">
      <c r="A200" s="909"/>
      <c r="B200" s="910" t="s">
        <v>9</v>
      </c>
      <c r="C200" s="910"/>
      <c r="D200" s="915">
        <f>SUM(D195:D198)</f>
        <v>203630.5</v>
      </c>
      <c r="E200" s="925"/>
      <c r="F200" s="921">
        <f>SUM(F193:F199)</f>
        <v>351127.14</v>
      </c>
      <c r="G200" s="921"/>
      <c r="H200" s="921">
        <f>SUM(H193:H199)</f>
        <v>351127.14</v>
      </c>
      <c r="I200" s="920"/>
      <c r="J200" s="921">
        <f>SUM(J193:J199)</f>
        <v>456701.07999999996</v>
      </c>
      <c r="K200" s="917">
        <f t="shared" si="34"/>
        <v>105573.93999999994</v>
      </c>
      <c r="L200" s="926"/>
    </row>
    <row r="201" spans="1:12" x14ac:dyDescent="0.25">
      <c r="A201" s="909"/>
      <c r="C201" s="905"/>
      <c r="D201" s="906"/>
      <c r="E201" s="911"/>
      <c r="F201" s="912"/>
      <c r="G201" s="912"/>
      <c r="H201" s="912"/>
      <c r="I201" s="930"/>
      <c r="J201" s="930"/>
      <c r="K201" s="927"/>
    </row>
    <row r="202" spans="1:12" x14ac:dyDescent="0.25">
      <c r="A202" s="909" t="s">
        <v>164</v>
      </c>
      <c r="B202" s="894" t="s">
        <v>166</v>
      </c>
      <c r="C202" s="905"/>
      <c r="D202" s="906"/>
      <c r="E202" s="911"/>
      <c r="F202" s="912"/>
      <c r="G202" s="912"/>
      <c r="H202" s="912"/>
      <c r="I202" s="930"/>
      <c r="J202" s="931"/>
      <c r="K202" s="927"/>
    </row>
    <row r="203" spans="1:12" x14ac:dyDescent="0.25">
      <c r="A203" s="909"/>
      <c r="B203" s="894" t="s">
        <v>662</v>
      </c>
      <c r="C203" s="910">
        <f>'Sch M 2.2'!Q1036</f>
        <v>180</v>
      </c>
      <c r="D203" s="906"/>
      <c r="E203" s="938">
        <f t="shared" ref="E203:E209" si="35">E193</f>
        <v>37.5</v>
      </c>
      <c r="F203" s="917">
        <f>ROUND(E203*C203,2)</f>
        <v>6750</v>
      </c>
      <c r="G203" s="917"/>
      <c r="H203" s="917">
        <f t="shared" ref="H203:H209" si="36">F203+G203</f>
        <v>6750</v>
      </c>
      <c r="I203" s="928">
        <f t="shared" ref="I203:I209" si="37">I193</f>
        <v>44.69</v>
      </c>
      <c r="J203" s="921">
        <f>ROUND(I203*C203,2)</f>
        <v>8044.2</v>
      </c>
      <c r="K203" s="917">
        <f t="shared" ref="K203:K210" si="38">J203-H203</f>
        <v>1294.1999999999998</v>
      </c>
      <c r="L203" s="926"/>
    </row>
    <row r="204" spans="1:12" x14ac:dyDescent="0.25">
      <c r="A204" s="909"/>
      <c r="B204" s="894" t="s">
        <v>678</v>
      </c>
      <c r="C204" s="910">
        <f>C203</f>
        <v>180</v>
      </c>
      <c r="D204" s="906"/>
      <c r="E204" s="938">
        <f t="shared" si="35"/>
        <v>55.9</v>
      </c>
      <c r="F204" s="917">
        <f>ROUND(E204*C204,2)</f>
        <v>10062</v>
      </c>
      <c r="G204" s="917"/>
      <c r="H204" s="917">
        <f t="shared" si="36"/>
        <v>10062</v>
      </c>
      <c r="I204" s="928">
        <f t="shared" si="37"/>
        <v>0</v>
      </c>
      <c r="J204" s="921">
        <f>ROUND(I204*C204,2)</f>
        <v>0</v>
      </c>
      <c r="K204" s="917">
        <f t="shared" si="38"/>
        <v>-10062</v>
      </c>
    </row>
    <row r="205" spans="1:12" x14ac:dyDescent="0.25">
      <c r="A205" s="909"/>
      <c r="B205" s="935" t="s">
        <v>669</v>
      </c>
      <c r="C205" s="905"/>
      <c r="D205" s="915">
        <f>'Sch M 2.2'!Q1042</f>
        <v>7264.1000000000013</v>
      </c>
      <c r="E205" s="929">
        <f t="shared" si="35"/>
        <v>2.2665999999999999</v>
      </c>
      <c r="F205" s="917">
        <f>ROUND(E205*D205,2)</f>
        <v>16464.810000000001</v>
      </c>
      <c r="G205" s="917"/>
      <c r="H205" s="917">
        <f t="shared" si="36"/>
        <v>16464.810000000001</v>
      </c>
      <c r="I205" s="920">
        <f t="shared" si="37"/>
        <v>3.0331999999999999</v>
      </c>
      <c r="J205" s="921">
        <f>ROUND(I205*D205,2)</f>
        <v>22033.47</v>
      </c>
      <c r="K205" s="917">
        <f t="shared" si="38"/>
        <v>5568.66</v>
      </c>
    </row>
    <row r="206" spans="1:12" x14ac:dyDescent="0.25">
      <c r="A206" s="909"/>
      <c r="B206" s="935" t="s">
        <v>670</v>
      </c>
      <c r="C206" s="905"/>
      <c r="D206" s="915">
        <f>'Sch M 2.2'!Q1043</f>
        <v>43362.3</v>
      </c>
      <c r="E206" s="929">
        <f t="shared" si="35"/>
        <v>1.752</v>
      </c>
      <c r="F206" s="917">
        <f>ROUND(E206*D206,2)</f>
        <v>75970.75</v>
      </c>
      <c r="G206" s="917"/>
      <c r="H206" s="917">
        <f t="shared" si="36"/>
        <v>75970.75</v>
      </c>
      <c r="I206" s="920">
        <f t="shared" si="37"/>
        <v>2.3445999999999998</v>
      </c>
      <c r="J206" s="921">
        <f>ROUND(I206*D206,2)</f>
        <v>101667.25</v>
      </c>
      <c r="K206" s="917">
        <f t="shared" si="38"/>
        <v>25696.5</v>
      </c>
    </row>
    <row r="207" spans="1:12" x14ac:dyDescent="0.25">
      <c r="A207" s="909"/>
      <c r="B207" s="935" t="s">
        <v>671</v>
      </c>
      <c r="C207" s="905"/>
      <c r="D207" s="915">
        <f>'Sch M 2.2'!Q1044</f>
        <v>52874.7</v>
      </c>
      <c r="E207" s="929">
        <f t="shared" si="35"/>
        <v>1.6658999999999999</v>
      </c>
      <c r="F207" s="917">
        <f>ROUND(E207*D207,2)</f>
        <v>88083.96</v>
      </c>
      <c r="G207" s="917"/>
      <c r="H207" s="917">
        <f t="shared" si="36"/>
        <v>88083.96</v>
      </c>
      <c r="I207" s="920">
        <f t="shared" si="37"/>
        <v>2.2294</v>
      </c>
      <c r="J207" s="921">
        <f>ROUND(I207*D207,2)</f>
        <v>117878.86</v>
      </c>
      <c r="K207" s="917">
        <f t="shared" si="38"/>
        <v>29794.899999999994</v>
      </c>
    </row>
    <row r="208" spans="1:12" x14ac:dyDescent="0.25">
      <c r="B208" s="894" t="s">
        <v>672</v>
      </c>
      <c r="C208" s="905"/>
      <c r="D208" s="915">
        <f>'Sch M 2.2'!Q1045</f>
        <v>50966.8</v>
      </c>
      <c r="E208" s="929">
        <f t="shared" si="35"/>
        <v>1.5164</v>
      </c>
      <c r="F208" s="917">
        <f>ROUND(E208*D208,2)</f>
        <v>77286.06</v>
      </c>
      <c r="G208" s="917"/>
      <c r="H208" s="917">
        <f t="shared" si="36"/>
        <v>77286.06</v>
      </c>
      <c r="I208" s="920">
        <f t="shared" si="37"/>
        <v>2.0294000000000003</v>
      </c>
      <c r="J208" s="921">
        <f>ROUND(I208*D208,2)</f>
        <v>103432.02</v>
      </c>
      <c r="K208" s="917">
        <f t="shared" si="38"/>
        <v>26145.960000000006</v>
      </c>
    </row>
    <row r="209" spans="1:13" x14ac:dyDescent="0.25">
      <c r="B209" s="894" t="s">
        <v>193</v>
      </c>
      <c r="C209" s="905"/>
      <c r="D209" s="939"/>
      <c r="E209" s="938">
        <f t="shared" si="35"/>
        <v>8.02</v>
      </c>
      <c r="F209" s="924">
        <f>ROUND(C203*E209,2)</f>
        <v>1443.6</v>
      </c>
      <c r="G209" s="924"/>
      <c r="H209" s="924">
        <f t="shared" si="36"/>
        <v>1443.6</v>
      </c>
      <c r="I209" s="928">
        <f t="shared" si="37"/>
        <v>0</v>
      </c>
      <c r="J209" s="943">
        <f>ROUND(C204*I209,2)</f>
        <v>0</v>
      </c>
      <c r="K209" s="924">
        <f t="shared" si="38"/>
        <v>-1443.6</v>
      </c>
    </row>
    <row r="210" spans="1:13" x14ac:dyDescent="0.25">
      <c r="A210" s="909"/>
      <c r="B210" s="910" t="s">
        <v>9</v>
      </c>
      <c r="C210" s="910"/>
      <c r="D210" s="915">
        <f>SUM(D205:D208)</f>
        <v>154467.90000000002</v>
      </c>
      <c r="E210" s="925"/>
      <c r="F210" s="921">
        <f>SUM(F203:F209)</f>
        <v>276061.18</v>
      </c>
      <c r="G210" s="921"/>
      <c r="H210" s="921">
        <f>SUM(H203:H209)</f>
        <v>276061.18</v>
      </c>
      <c r="I210" s="920"/>
      <c r="J210" s="921">
        <f>SUM(J203:J209)</f>
        <v>353055.80000000005</v>
      </c>
      <c r="K210" s="917">
        <f t="shared" si="38"/>
        <v>76994.620000000054</v>
      </c>
      <c r="L210" s="926"/>
    </row>
    <row r="211" spans="1:13" x14ac:dyDescent="0.25">
      <c r="A211" s="909"/>
      <c r="C211" s="905"/>
      <c r="D211" s="906"/>
      <c r="E211" s="911"/>
      <c r="F211" s="912"/>
      <c r="G211" s="912"/>
      <c r="H211" s="912"/>
      <c r="I211" s="930"/>
      <c r="J211" s="930"/>
      <c r="K211" s="927"/>
    </row>
    <row r="212" spans="1:13" x14ac:dyDescent="0.25">
      <c r="A212" s="1005" t="str">
        <f>$A$1</f>
        <v>PSC Case No. 2016-00162</v>
      </c>
      <c r="B212" s="1005"/>
      <c r="C212" s="1005"/>
      <c r="D212" s="1005"/>
      <c r="E212" s="1005"/>
      <c r="F212" s="1005"/>
      <c r="G212" s="1005"/>
      <c r="H212" s="1005"/>
      <c r="I212" s="1005"/>
      <c r="J212" s="1005"/>
      <c r="K212" s="1005"/>
      <c r="L212" s="1005"/>
    </row>
    <row r="213" spans="1:13" x14ac:dyDescent="0.25">
      <c r="A213" s="1005" t="s">
        <v>682</v>
      </c>
      <c r="B213" s="1005"/>
      <c r="C213" s="1005"/>
      <c r="D213" s="1005"/>
      <c r="E213" s="1005"/>
      <c r="F213" s="1005"/>
      <c r="G213" s="1005"/>
      <c r="H213" s="1005"/>
      <c r="I213" s="1005"/>
      <c r="J213" s="1005"/>
      <c r="K213" s="1005"/>
      <c r="L213" s="1005"/>
      <c r="M213" s="895"/>
    </row>
    <row r="214" spans="1:13" x14ac:dyDescent="0.25">
      <c r="A214" s="1006" t="s">
        <v>36</v>
      </c>
      <c r="B214" s="1006"/>
      <c r="C214" s="1006"/>
      <c r="D214" s="1006"/>
      <c r="E214" s="1006"/>
      <c r="F214" s="1006"/>
      <c r="G214" s="1006"/>
      <c r="H214" s="1006"/>
      <c r="I214" s="1006"/>
      <c r="J214" s="1006"/>
      <c r="K214" s="1006"/>
    </row>
    <row r="215" spans="1:13" x14ac:dyDescent="0.25">
      <c r="A215" s="1006" t="str">
        <f>A4</f>
        <v>Case No. 2016-00162</v>
      </c>
      <c r="B215" s="1006"/>
      <c r="C215" s="1006"/>
      <c r="D215" s="1006"/>
      <c r="E215" s="1006"/>
      <c r="F215" s="1006"/>
      <c r="G215" s="1006"/>
      <c r="H215" s="1006"/>
      <c r="I215" s="1006"/>
      <c r="J215" s="1006"/>
      <c r="K215" s="1006"/>
    </row>
    <row r="216" spans="1:13" x14ac:dyDescent="0.25">
      <c r="A216" s="1006" t="s">
        <v>654</v>
      </c>
      <c r="B216" s="1006"/>
      <c r="C216" s="1006"/>
      <c r="D216" s="1006"/>
      <c r="E216" s="1006"/>
      <c r="F216" s="1006"/>
      <c r="G216" s="1006"/>
      <c r="H216" s="1006"/>
      <c r="I216" s="1006"/>
      <c r="J216" s="1006"/>
      <c r="K216" s="1006"/>
    </row>
    <row r="217" spans="1:13" x14ac:dyDescent="0.25">
      <c r="G217" s="896" t="s">
        <v>392</v>
      </c>
    </row>
    <row r="218" spans="1:13" x14ac:dyDescent="0.25">
      <c r="A218" s="896" t="s">
        <v>0</v>
      </c>
      <c r="B218" s="896" t="s">
        <v>655</v>
      </c>
      <c r="C218" s="898" t="s">
        <v>656</v>
      </c>
      <c r="D218" s="899" t="s">
        <v>26</v>
      </c>
      <c r="E218" s="896" t="s">
        <v>68</v>
      </c>
      <c r="F218" s="896" t="s">
        <v>657</v>
      </c>
      <c r="G218" s="896" t="s">
        <v>396</v>
      </c>
      <c r="H218" s="896" t="s">
        <v>20</v>
      </c>
      <c r="I218" s="900" t="s">
        <v>30</v>
      </c>
      <c r="J218" s="896" t="s">
        <v>658</v>
      </c>
      <c r="K218" s="896" t="s">
        <v>20</v>
      </c>
      <c r="L218" s="896"/>
    </row>
    <row r="219" spans="1:13" x14ac:dyDescent="0.25">
      <c r="A219" s="901" t="s">
        <v>40</v>
      </c>
      <c r="B219" s="901" t="s">
        <v>4</v>
      </c>
      <c r="C219" s="902" t="s">
        <v>659</v>
      </c>
      <c r="D219" s="903" t="s">
        <v>28</v>
      </c>
      <c r="E219" s="901" t="s">
        <v>48</v>
      </c>
      <c r="F219" s="901" t="s">
        <v>20</v>
      </c>
      <c r="G219" s="901" t="s">
        <v>393</v>
      </c>
      <c r="H219" s="901" t="s">
        <v>5</v>
      </c>
      <c r="I219" s="904" t="s">
        <v>48</v>
      </c>
      <c r="J219" s="901" t="s">
        <v>20</v>
      </c>
      <c r="K219" s="901" t="s">
        <v>147</v>
      </c>
      <c r="L219" s="901"/>
    </row>
    <row r="220" spans="1:13" x14ac:dyDescent="0.25">
      <c r="C220" s="905"/>
      <c r="D220" s="906"/>
      <c r="E220" s="907" t="s">
        <v>660</v>
      </c>
      <c r="F220" s="907" t="s">
        <v>60</v>
      </c>
      <c r="G220" s="907" t="s">
        <v>60</v>
      </c>
      <c r="H220" s="907" t="s">
        <v>60</v>
      </c>
      <c r="I220" s="908" t="s">
        <v>660</v>
      </c>
      <c r="J220" s="907" t="s">
        <v>60</v>
      </c>
      <c r="K220" s="907" t="s">
        <v>60</v>
      </c>
      <c r="L220" s="907"/>
    </row>
    <row r="221" spans="1:13" x14ac:dyDescent="0.25">
      <c r="A221" s="909"/>
      <c r="B221" s="940" t="s">
        <v>95</v>
      </c>
      <c r="C221" s="910"/>
      <c r="D221" s="915"/>
      <c r="E221" s="925"/>
      <c r="F221" s="921"/>
      <c r="G221" s="921"/>
      <c r="H221" s="921"/>
      <c r="I221" s="920"/>
      <c r="J221" s="921"/>
      <c r="K221" s="917"/>
      <c r="L221" s="926"/>
    </row>
    <row r="222" spans="1:13" x14ac:dyDescent="0.25">
      <c r="A222" s="909"/>
      <c r="C222" s="905"/>
      <c r="D222" s="906"/>
      <c r="E222" s="911"/>
      <c r="F222" s="912"/>
      <c r="G222" s="912"/>
      <c r="H222" s="912"/>
      <c r="I222" s="930"/>
      <c r="J222" s="931"/>
      <c r="K222" s="927"/>
    </row>
    <row r="223" spans="1:13" x14ac:dyDescent="0.25">
      <c r="A223" s="909"/>
      <c r="B223" s="910"/>
      <c r="C223" s="910"/>
      <c r="D223" s="915"/>
      <c r="E223" s="925"/>
      <c r="F223" s="921"/>
      <c r="G223" s="921"/>
      <c r="H223" s="921"/>
      <c r="I223" s="920"/>
      <c r="J223" s="921"/>
      <c r="K223" s="917"/>
      <c r="L223" s="926"/>
    </row>
    <row r="224" spans="1:13" x14ac:dyDescent="0.25">
      <c r="A224" s="909" t="s">
        <v>73</v>
      </c>
      <c r="B224" s="894" t="s">
        <v>120</v>
      </c>
      <c r="C224" s="905"/>
      <c r="D224" s="906"/>
      <c r="E224" s="911"/>
      <c r="F224" s="912"/>
      <c r="G224" s="912"/>
      <c r="H224" s="912"/>
      <c r="I224" s="930"/>
      <c r="J224" s="930"/>
      <c r="K224" s="927"/>
    </row>
    <row r="225" spans="1:12" x14ac:dyDescent="0.25">
      <c r="A225" s="909"/>
      <c r="B225" s="894" t="s">
        <v>662</v>
      </c>
      <c r="C225" s="910">
        <f>'Sch M 2.2'!Q1082</f>
        <v>36</v>
      </c>
      <c r="D225" s="906"/>
      <c r="E225" s="938">
        <f>'Sch M 2.2'!D1083</f>
        <v>200</v>
      </c>
      <c r="F225" s="917">
        <f>ROUND(E225*C225,2)</f>
        <v>7200</v>
      </c>
      <c r="G225" s="917"/>
      <c r="H225" s="917">
        <f t="shared" ref="H225:H227" si="39">F225+G225</f>
        <v>7200</v>
      </c>
      <c r="I225" s="928">
        <f>'Sch M 2.3'!D1079</f>
        <v>255.9</v>
      </c>
      <c r="J225" s="921">
        <f>ROUND(I225*C225,2)</f>
        <v>9212.4</v>
      </c>
      <c r="K225" s="917">
        <f>J225-H225</f>
        <v>2012.3999999999996</v>
      </c>
    </row>
    <row r="226" spans="1:12" x14ac:dyDescent="0.25">
      <c r="A226" s="909"/>
      <c r="B226" s="894" t="s">
        <v>678</v>
      </c>
      <c r="C226" s="910">
        <f>C225</f>
        <v>36</v>
      </c>
      <c r="D226" s="906"/>
      <c r="E226" s="938">
        <f>'Sch M 2.2'!D1084</f>
        <v>55.9</v>
      </c>
      <c r="F226" s="917">
        <f>ROUND(E226*C226,2)</f>
        <v>2012.4</v>
      </c>
      <c r="G226" s="917"/>
      <c r="H226" s="917">
        <f t="shared" si="39"/>
        <v>2012.4</v>
      </c>
      <c r="I226" s="928">
        <f>'Sch M 2.3'!D1080</f>
        <v>0</v>
      </c>
      <c r="J226" s="921">
        <f>ROUND(I226*C226,2)</f>
        <v>0</v>
      </c>
      <c r="K226" s="917">
        <f>J226-H226</f>
        <v>-2012.4</v>
      </c>
    </row>
    <row r="227" spans="1:12" x14ac:dyDescent="0.25">
      <c r="A227" s="909"/>
      <c r="B227" s="910" t="s">
        <v>663</v>
      </c>
      <c r="C227" s="905"/>
      <c r="D227" s="915">
        <f>'Sch M 2.2'!Q1086</f>
        <v>680981</v>
      </c>
      <c r="E227" s="929">
        <f>'Sch M 2.2'!D1087</f>
        <v>8.5800000000000001E-2</v>
      </c>
      <c r="F227" s="924">
        <f>ROUND(E227*D227,2)</f>
        <v>58428.17</v>
      </c>
      <c r="G227" s="924"/>
      <c r="H227" s="924">
        <f t="shared" si="39"/>
        <v>58428.17</v>
      </c>
      <c r="I227" s="920">
        <v>8.5800000000000001E-2</v>
      </c>
      <c r="J227" s="943">
        <f>ROUND(I227*D227,2)</f>
        <v>58428.17</v>
      </c>
      <c r="K227" s="924">
        <f>J227-H227</f>
        <v>0</v>
      </c>
    </row>
    <row r="228" spans="1:12" x14ac:dyDescent="0.25">
      <c r="A228" s="909"/>
      <c r="B228" s="910" t="s">
        <v>9</v>
      </c>
      <c r="C228" s="905"/>
      <c r="D228" s="915"/>
      <c r="E228" s="911"/>
      <c r="F228" s="917">
        <f>SUM(F225:F227)</f>
        <v>67640.569999999992</v>
      </c>
      <c r="G228" s="917"/>
      <c r="H228" s="921">
        <f>SUM(H225:H227)</f>
        <v>67640.569999999992</v>
      </c>
      <c r="I228" s="930"/>
      <c r="J228" s="921">
        <f>SUM(J225:J227)</f>
        <v>67640.569999999992</v>
      </c>
      <c r="K228" s="917">
        <f>SUM(K225:K227)</f>
        <v>-4.5474735088646412E-13</v>
      </c>
      <c r="L228" s="926"/>
    </row>
    <row r="229" spans="1:12" x14ac:dyDescent="0.25">
      <c r="A229" s="909"/>
      <c r="B229" s="910"/>
      <c r="C229" s="905"/>
      <c r="D229" s="915"/>
      <c r="E229" s="911"/>
      <c r="F229" s="917"/>
      <c r="G229" s="917"/>
      <c r="H229" s="921"/>
      <c r="I229" s="930"/>
      <c r="J229" s="921"/>
      <c r="K229" s="917"/>
      <c r="L229" s="926"/>
    </row>
    <row r="230" spans="1:12" x14ac:dyDescent="0.25">
      <c r="A230" s="909" t="s">
        <v>98</v>
      </c>
      <c r="B230" s="894" t="s">
        <v>122</v>
      </c>
      <c r="C230" s="905"/>
    </row>
    <row r="231" spans="1:12" x14ac:dyDescent="0.25">
      <c r="A231" s="909"/>
      <c r="B231" s="894" t="s">
        <v>662</v>
      </c>
      <c r="C231" s="910">
        <f>'Sch M 2.2'!Q1100</f>
        <v>12</v>
      </c>
      <c r="D231" s="906"/>
      <c r="E231" s="938">
        <f>'Sch M 2.2'!D1101</f>
        <v>1007.05</v>
      </c>
      <c r="F231" s="917">
        <f>ROUND(E231*C231,2)</f>
        <v>12084.6</v>
      </c>
      <c r="G231" s="917"/>
      <c r="H231" s="917">
        <f t="shared" ref="H231:H233" si="40">F231+G231</f>
        <v>12084.6</v>
      </c>
      <c r="I231" s="928">
        <f>E231</f>
        <v>1007.05</v>
      </c>
      <c r="J231" s="917">
        <f>ROUND(I231*C231,2)</f>
        <v>12084.6</v>
      </c>
      <c r="K231" s="917">
        <f>J231-H231</f>
        <v>0</v>
      </c>
    </row>
    <row r="232" spans="1:12" x14ac:dyDescent="0.25">
      <c r="A232" s="909"/>
      <c r="B232" s="894" t="s">
        <v>678</v>
      </c>
      <c r="C232" s="910">
        <f>C231</f>
        <v>12</v>
      </c>
      <c r="D232" s="906"/>
      <c r="E232" s="938">
        <f>'Sch M 2.2'!D1102</f>
        <v>55.9</v>
      </c>
      <c r="F232" s="917">
        <f>ROUND(E232*C232,2)</f>
        <v>670.8</v>
      </c>
      <c r="G232" s="917"/>
      <c r="H232" s="917">
        <f t="shared" si="40"/>
        <v>670.8</v>
      </c>
      <c r="I232" s="928">
        <f>E232</f>
        <v>55.9</v>
      </c>
      <c r="J232" s="917">
        <f>ROUND(I232*C232,2)</f>
        <v>670.8</v>
      </c>
      <c r="K232" s="917">
        <f>J232-H232</f>
        <v>0</v>
      </c>
    </row>
    <row r="233" spans="1:12" x14ac:dyDescent="0.25">
      <c r="A233" s="909"/>
      <c r="B233" s="910" t="s">
        <v>663</v>
      </c>
      <c r="C233" s="905"/>
      <c r="D233" s="915">
        <f>'Sch M 2.2'!Q1104</f>
        <v>541812</v>
      </c>
      <c r="E233" s="929">
        <f>'Sch M 2.2'!D1105</f>
        <v>0.39</v>
      </c>
      <c r="F233" s="924">
        <f>ROUND(E233*D233,2)</f>
        <v>211306.68</v>
      </c>
      <c r="G233" s="924"/>
      <c r="H233" s="924">
        <f t="shared" si="40"/>
        <v>211306.68</v>
      </c>
      <c r="I233" s="920">
        <f>E233</f>
        <v>0.39</v>
      </c>
      <c r="J233" s="924">
        <f>ROUND(I233*D233,2)</f>
        <v>211306.68</v>
      </c>
      <c r="K233" s="924">
        <f>J233-H233</f>
        <v>0</v>
      </c>
    </row>
    <row r="234" spans="1:12" x14ac:dyDescent="0.25">
      <c r="A234" s="909"/>
      <c r="B234" s="894" t="s">
        <v>9</v>
      </c>
      <c r="C234" s="905"/>
      <c r="D234" s="915"/>
      <c r="E234" s="911"/>
      <c r="F234" s="917">
        <f>SUM(F231:F233)</f>
        <v>224062.07999999999</v>
      </c>
      <c r="G234" s="917"/>
      <c r="H234" s="921">
        <f>SUM(H231:H233)</f>
        <v>224062.07999999999</v>
      </c>
      <c r="I234" s="930"/>
      <c r="J234" s="917">
        <f>SUM(J231:J233)</f>
        <v>224062.07999999999</v>
      </c>
      <c r="K234" s="917">
        <f>SUM(K231:K233)</f>
        <v>0</v>
      </c>
      <c r="L234" s="926"/>
    </row>
    <row r="235" spans="1:12" x14ac:dyDescent="0.25">
      <c r="A235" s="909"/>
      <c r="C235" s="905"/>
      <c r="D235" s="915"/>
      <c r="E235" s="911"/>
      <c r="F235" s="917"/>
      <c r="G235" s="917"/>
      <c r="H235" s="921"/>
      <c r="I235" s="930"/>
      <c r="J235" s="917"/>
      <c r="K235" s="917"/>
      <c r="L235" s="926"/>
    </row>
    <row r="236" spans="1:12" x14ac:dyDescent="0.25">
      <c r="A236" s="909" t="s">
        <v>99</v>
      </c>
      <c r="B236" s="894" t="s">
        <v>122</v>
      </c>
      <c r="C236" s="905"/>
      <c r="D236" s="906"/>
      <c r="E236" s="911"/>
      <c r="F236" s="912"/>
      <c r="G236" s="912"/>
      <c r="H236" s="912"/>
      <c r="I236" s="930"/>
      <c r="J236" s="931"/>
      <c r="K236" s="927"/>
    </row>
    <row r="237" spans="1:12" x14ac:dyDescent="0.25">
      <c r="A237" s="909"/>
      <c r="B237" s="894" t="s">
        <v>662</v>
      </c>
      <c r="C237" s="910">
        <f>'Sch M 2.2'!Q1118</f>
        <v>12</v>
      </c>
      <c r="D237" s="906"/>
      <c r="E237" s="938">
        <f>'Sch M 2.2'!D1119</f>
        <v>1007.05</v>
      </c>
      <c r="F237" s="917">
        <f>ROUND(E237*C237,2)</f>
        <v>12084.6</v>
      </c>
      <c r="G237" s="917"/>
      <c r="H237" s="917">
        <f t="shared" ref="H237:H239" si="41">F237+G237</f>
        <v>12084.6</v>
      </c>
      <c r="I237" s="928">
        <f>E237</f>
        <v>1007.05</v>
      </c>
      <c r="J237" s="917">
        <f>ROUND(I237*C237,2)</f>
        <v>12084.6</v>
      </c>
      <c r="K237" s="917">
        <f>J237-H237</f>
        <v>0</v>
      </c>
    </row>
    <row r="238" spans="1:12" x14ac:dyDescent="0.25">
      <c r="A238" s="909"/>
      <c r="B238" s="894" t="s">
        <v>678</v>
      </c>
      <c r="C238" s="910">
        <f>C237</f>
        <v>12</v>
      </c>
      <c r="D238" s="906"/>
      <c r="E238" s="938">
        <f>'Sch M 2.2'!D1120</f>
        <v>55.9</v>
      </c>
      <c r="F238" s="917">
        <f>ROUND(E238*C238,2)</f>
        <v>670.8</v>
      </c>
      <c r="G238" s="917"/>
      <c r="H238" s="917">
        <f t="shared" si="41"/>
        <v>670.8</v>
      </c>
      <c r="I238" s="928">
        <f>E238</f>
        <v>55.9</v>
      </c>
      <c r="J238" s="917">
        <f>ROUND(I238*C238,2)</f>
        <v>670.8</v>
      </c>
      <c r="K238" s="917">
        <f>J238-H238</f>
        <v>0</v>
      </c>
    </row>
    <row r="239" spans="1:12" x14ac:dyDescent="0.25">
      <c r="A239" s="909"/>
      <c r="B239" s="910" t="s">
        <v>663</v>
      </c>
      <c r="C239" s="905"/>
      <c r="D239" s="915">
        <f>'Sch M 2.2'!Q1122</f>
        <v>533988</v>
      </c>
      <c r="E239" s="929">
        <f>'Sch M 2.2'!D1123</f>
        <v>0.39</v>
      </c>
      <c r="F239" s="924">
        <f>ROUND(E239*D239,2)</f>
        <v>208255.32</v>
      </c>
      <c r="G239" s="924"/>
      <c r="H239" s="924">
        <f t="shared" si="41"/>
        <v>208255.32</v>
      </c>
      <c r="I239" s="920">
        <f>E239</f>
        <v>0.39</v>
      </c>
      <c r="J239" s="924">
        <f>ROUND(I239*D239,2)</f>
        <v>208255.32</v>
      </c>
      <c r="K239" s="924">
        <f>J239-H239</f>
        <v>0</v>
      </c>
    </row>
    <row r="240" spans="1:12" x14ac:dyDescent="0.25">
      <c r="A240" s="909"/>
      <c r="B240" s="910" t="s">
        <v>9</v>
      </c>
      <c r="C240" s="905"/>
      <c r="D240" s="915"/>
      <c r="E240" s="911"/>
      <c r="F240" s="917">
        <f>SUM(F237:F239)</f>
        <v>221010.72</v>
      </c>
      <c r="G240" s="917"/>
      <c r="H240" s="921">
        <f>SUM(H237:H239)</f>
        <v>221010.72</v>
      </c>
      <c r="I240" s="930"/>
      <c r="J240" s="917">
        <f>SUM(J237:J239)</f>
        <v>221010.72</v>
      </c>
      <c r="K240" s="917">
        <f>SUM(K237:K239)</f>
        <v>0</v>
      </c>
      <c r="L240" s="926"/>
    </row>
    <row r="241" spans="1:12" x14ac:dyDescent="0.25">
      <c r="A241" s="909"/>
      <c r="B241" s="910"/>
      <c r="C241" s="905"/>
      <c r="D241" s="915"/>
      <c r="E241" s="911"/>
      <c r="F241" s="917"/>
      <c r="G241" s="917"/>
      <c r="H241" s="917"/>
      <c r="I241" s="930"/>
      <c r="J241" s="917"/>
      <c r="K241" s="917"/>
      <c r="L241" s="926"/>
    </row>
    <row r="242" spans="1:12" x14ac:dyDescent="0.25">
      <c r="A242" s="909" t="s">
        <v>100</v>
      </c>
      <c r="B242" s="894" t="s">
        <v>121</v>
      </c>
      <c r="C242" s="905"/>
      <c r="D242" s="906"/>
      <c r="E242" s="911"/>
      <c r="F242" s="912"/>
      <c r="G242" s="912"/>
      <c r="H242" s="912"/>
      <c r="I242" s="930"/>
      <c r="J242" s="931"/>
      <c r="K242" s="927"/>
    </row>
    <row r="243" spans="1:12" x14ac:dyDescent="0.25">
      <c r="A243" s="909"/>
      <c r="B243" s="894" t="s">
        <v>662</v>
      </c>
      <c r="C243" s="910">
        <f>'Sch M 2.2'!Q1152</f>
        <v>36</v>
      </c>
      <c r="D243" s="934"/>
      <c r="E243" s="938">
        <f>'Sch M 2.2'!D1153</f>
        <v>200</v>
      </c>
      <c r="F243" s="917">
        <f>ROUND(E243*C243,2)</f>
        <v>7200</v>
      </c>
      <c r="G243" s="917"/>
      <c r="H243" s="917">
        <f t="shared" ref="H243:H245" si="42">F243+G243</f>
        <v>7200</v>
      </c>
      <c r="I243" s="928">
        <f>E243</f>
        <v>200</v>
      </c>
      <c r="J243" s="917">
        <f>ROUND(I243*C243,2)</f>
        <v>7200</v>
      </c>
      <c r="K243" s="917">
        <f>J243-H243</f>
        <v>0</v>
      </c>
    </row>
    <row r="244" spans="1:12" x14ac:dyDescent="0.25">
      <c r="A244" s="909"/>
      <c r="B244" s="894" t="s">
        <v>678</v>
      </c>
      <c r="C244" s="910">
        <f>C243</f>
        <v>36</v>
      </c>
      <c r="D244" s="934"/>
      <c r="E244" s="938">
        <f>'Sch M 2.2'!D1154</f>
        <v>55.9</v>
      </c>
      <c r="F244" s="917">
        <f>ROUND(E244*C244,2)</f>
        <v>2012.4</v>
      </c>
      <c r="G244" s="917"/>
      <c r="H244" s="917">
        <f t="shared" si="42"/>
        <v>2012.4</v>
      </c>
      <c r="I244" s="928">
        <f>E244</f>
        <v>55.9</v>
      </c>
      <c r="J244" s="917">
        <f>ROUND(I244*C244,2)</f>
        <v>2012.4</v>
      </c>
      <c r="K244" s="917">
        <f>J244-H244</f>
        <v>0</v>
      </c>
    </row>
    <row r="245" spans="1:12" x14ac:dyDescent="0.25">
      <c r="A245" s="909"/>
      <c r="B245" s="910" t="s">
        <v>663</v>
      </c>
      <c r="C245" s="905"/>
      <c r="D245" s="915">
        <f>'Sch M 2.2'!Q1156</f>
        <v>4689510</v>
      </c>
      <c r="E245" s="929">
        <f>'Sch M 2.2'!D1157</f>
        <v>8.5800000000000001E-2</v>
      </c>
      <c r="F245" s="924">
        <f>ROUND(E245*D245,2)</f>
        <v>402359.96</v>
      </c>
      <c r="G245" s="924"/>
      <c r="H245" s="924">
        <f t="shared" si="42"/>
        <v>402359.96</v>
      </c>
      <c r="I245" s="920">
        <f>E245</f>
        <v>8.5800000000000001E-2</v>
      </c>
      <c r="J245" s="924">
        <f>ROUND(I245*D245,2)</f>
        <v>402359.96</v>
      </c>
      <c r="K245" s="924">
        <f>J245-H245</f>
        <v>0</v>
      </c>
    </row>
    <row r="246" spans="1:12" x14ac:dyDescent="0.25">
      <c r="A246" s="909"/>
      <c r="B246" s="910" t="s">
        <v>9</v>
      </c>
      <c r="C246" s="905"/>
      <c r="D246" s="915"/>
      <c r="E246" s="911"/>
      <c r="F246" s="917">
        <f>SUM(F243:F245)</f>
        <v>411572.36000000004</v>
      </c>
      <c r="G246" s="917"/>
      <c r="H246" s="921">
        <f>SUM(H243:H245)</f>
        <v>411572.36000000004</v>
      </c>
      <c r="I246" s="930"/>
      <c r="J246" s="917">
        <f>SUM(J243:J245)</f>
        <v>411572.36000000004</v>
      </c>
      <c r="K246" s="917">
        <f>SUM(K243:K245)</f>
        <v>0</v>
      </c>
      <c r="L246" s="926"/>
    </row>
    <row r="247" spans="1:12" x14ac:dyDescent="0.25">
      <c r="A247" s="909"/>
      <c r="B247" s="910"/>
      <c r="C247" s="905"/>
      <c r="D247" s="915"/>
      <c r="E247" s="911"/>
      <c r="F247" s="917"/>
      <c r="G247" s="917"/>
      <c r="H247" s="917"/>
      <c r="I247" s="930"/>
      <c r="J247" s="917"/>
      <c r="K247" s="917"/>
      <c r="L247" s="926"/>
    </row>
    <row r="248" spans="1:12" x14ac:dyDescent="0.25">
      <c r="A248" s="909" t="s">
        <v>138</v>
      </c>
      <c r="B248" s="894" t="s">
        <v>121</v>
      </c>
      <c r="C248" s="905"/>
      <c r="D248" s="906"/>
      <c r="E248" s="911"/>
      <c r="F248" s="912"/>
      <c r="G248" s="912"/>
      <c r="H248" s="912"/>
      <c r="I248" s="930"/>
      <c r="J248" s="931"/>
      <c r="K248" s="927"/>
    </row>
    <row r="249" spans="1:12" x14ac:dyDescent="0.25">
      <c r="A249" s="909"/>
      <c r="B249" s="894" t="s">
        <v>662</v>
      </c>
      <c r="C249" s="910">
        <f>'Sch M 2.2'!Q1170</f>
        <v>12</v>
      </c>
      <c r="D249" s="906"/>
      <c r="E249" s="938">
        <f>'Sch M 2.2'!D1171</f>
        <v>1007.05</v>
      </c>
      <c r="F249" s="917">
        <f>ROUND(E249*C249,2)</f>
        <v>12084.6</v>
      </c>
      <c r="G249" s="917"/>
      <c r="H249" s="917">
        <f t="shared" ref="H249:H252" si="43">F249+G249</f>
        <v>12084.6</v>
      </c>
      <c r="I249" s="928">
        <f>E249</f>
        <v>1007.05</v>
      </c>
      <c r="J249" s="917">
        <f>ROUND(I249*C249,2)</f>
        <v>12084.6</v>
      </c>
      <c r="K249" s="917">
        <f>J249-H249</f>
        <v>0</v>
      </c>
    </row>
    <row r="250" spans="1:12" x14ac:dyDescent="0.25">
      <c r="A250" s="909"/>
      <c r="B250" s="894" t="s">
        <v>678</v>
      </c>
      <c r="C250" s="910">
        <f>C249</f>
        <v>12</v>
      </c>
      <c r="D250" s="906"/>
      <c r="E250" s="938">
        <f>'Sch M 2.2'!D1172</f>
        <v>55.9</v>
      </c>
      <c r="F250" s="917">
        <f>ROUND(E250*C250,2)</f>
        <v>670.8</v>
      </c>
      <c r="G250" s="917"/>
      <c r="H250" s="917">
        <f t="shared" si="43"/>
        <v>670.8</v>
      </c>
      <c r="I250" s="928">
        <f>E250</f>
        <v>55.9</v>
      </c>
      <c r="J250" s="917">
        <f>ROUND(I250*C250,2)</f>
        <v>670.8</v>
      </c>
      <c r="K250" s="917">
        <f>J250-H250</f>
        <v>0</v>
      </c>
    </row>
    <row r="251" spans="1:12" x14ac:dyDescent="0.25">
      <c r="A251" s="909"/>
      <c r="B251" s="894" t="s">
        <v>679</v>
      </c>
      <c r="C251" s="905"/>
      <c r="D251" s="915">
        <f>'Sch M 2.2'!Q1175</f>
        <v>300000</v>
      </c>
      <c r="E251" s="929">
        <f>'Sch M 2.2'!D1179</f>
        <v>0.49</v>
      </c>
      <c r="F251" s="917">
        <f>ROUND(E251*D251,2)</f>
        <v>147000</v>
      </c>
      <c r="G251" s="917"/>
      <c r="H251" s="917">
        <f t="shared" si="43"/>
        <v>147000</v>
      </c>
      <c r="I251" s="920">
        <f>E251</f>
        <v>0.49</v>
      </c>
      <c r="J251" s="917">
        <f>ROUND(I251*D251,2)</f>
        <v>147000</v>
      </c>
      <c r="K251" s="917">
        <f>J251-H251</f>
        <v>0</v>
      </c>
    </row>
    <row r="252" spans="1:12" x14ac:dyDescent="0.25">
      <c r="A252" s="909"/>
      <c r="B252" s="894" t="s">
        <v>683</v>
      </c>
      <c r="C252" s="905"/>
      <c r="D252" s="939">
        <f>'Sch M 2.2'!Q1176</f>
        <v>120000</v>
      </c>
      <c r="E252" s="929">
        <f>'Sch M 2.2'!D1180</f>
        <v>0.27</v>
      </c>
      <c r="F252" s="924">
        <f>ROUND(E252*D252,2)</f>
        <v>32400</v>
      </c>
      <c r="G252" s="924"/>
      <c r="H252" s="924">
        <f t="shared" si="43"/>
        <v>32400</v>
      </c>
      <c r="I252" s="920">
        <f>E252</f>
        <v>0.27</v>
      </c>
      <c r="J252" s="924">
        <f>ROUND(I252*D252,2)</f>
        <v>32400</v>
      </c>
      <c r="K252" s="924">
        <f>J252-H252</f>
        <v>0</v>
      </c>
    </row>
    <row r="253" spans="1:12" x14ac:dyDescent="0.25">
      <c r="A253" s="909"/>
      <c r="B253" s="894" t="s">
        <v>9</v>
      </c>
      <c r="C253" s="905"/>
      <c r="D253" s="915">
        <f>SUM(D251:D252)</f>
        <v>420000</v>
      </c>
      <c r="E253" s="911"/>
      <c r="F253" s="917">
        <f>SUM(F249:F252)</f>
        <v>192155.4</v>
      </c>
      <c r="G253" s="917"/>
      <c r="H253" s="921">
        <f>SUM(H249:H252)</f>
        <v>192155.4</v>
      </c>
      <c r="I253" s="930"/>
      <c r="J253" s="917">
        <f>SUM(J249:J252)</f>
        <v>192155.4</v>
      </c>
      <c r="K253" s="917">
        <f>SUM(K249:K252)</f>
        <v>0</v>
      </c>
      <c r="L253" s="926"/>
    </row>
    <row r="254" spans="1:12" x14ac:dyDescent="0.25">
      <c r="A254" s="909"/>
      <c r="C254" s="905"/>
      <c r="D254" s="915"/>
      <c r="E254" s="911"/>
      <c r="F254" s="917"/>
      <c r="G254" s="917"/>
      <c r="H254" s="917"/>
      <c r="I254" s="930"/>
      <c r="J254" s="917"/>
      <c r="K254" s="917"/>
      <c r="L254" s="926"/>
    </row>
    <row r="255" spans="1:12" x14ac:dyDescent="0.25">
      <c r="A255" s="909" t="s">
        <v>139</v>
      </c>
      <c r="B255" s="894" t="s">
        <v>140</v>
      </c>
      <c r="C255" s="905"/>
      <c r="D255" s="915"/>
      <c r="E255" s="911"/>
      <c r="F255" s="917"/>
      <c r="G255" s="917"/>
      <c r="H255" s="917"/>
      <c r="I255" s="930"/>
      <c r="J255" s="917"/>
      <c r="K255" s="917"/>
      <c r="L255" s="926"/>
    </row>
    <row r="256" spans="1:12" x14ac:dyDescent="0.25">
      <c r="A256" s="909"/>
      <c r="B256" s="894" t="s">
        <v>662</v>
      </c>
      <c r="C256" s="910">
        <f>'Sch M 2.2'!Q1210</f>
        <v>0</v>
      </c>
      <c r="D256" s="906"/>
      <c r="E256" s="938">
        <f>'Sch M 2.2'!D1211</f>
        <v>1007.05</v>
      </c>
      <c r="F256" s="917">
        <f>ROUND(E256*C256,2)</f>
        <v>0</v>
      </c>
      <c r="G256" s="917"/>
      <c r="H256" s="917">
        <f t="shared" ref="H256:H261" si="44">F256+G256</f>
        <v>0</v>
      </c>
      <c r="I256" s="928">
        <f>I175</f>
        <v>2007</v>
      </c>
      <c r="J256" s="917">
        <f>ROUND(I256*C256,2)</f>
        <v>0</v>
      </c>
      <c r="K256" s="917">
        <f t="shared" ref="K256:K261" si="45">J256-H256</f>
        <v>0</v>
      </c>
    </row>
    <row r="257" spans="1:13" x14ac:dyDescent="0.25">
      <c r="A257" s="909"/>
      <c r="B257" s="894" t="s">
        <v>678</v>
      </c>
      <c r="C257" s="910">
        <f>C256</f>
        <v>0</v>
      </c>
      <c r="D257" s="906"/>
      <c r="E257" s="938">
        <f>'Sch M 2.2'!D1212</f>
        <v>55.9</v>
      </c>
      <c r="F257" s="917">
        <f>ROUND(E257*C257,2)</f>
        <v>0</v>
      </c>
      <c r="G257" s="917"/>
      <c r="H257" s="917">
        <f t="shared" si="44"/>
        <v>0</v>
      </c>
      <c r="I257" s="928">
        <v>55.9</v>
      </c>
      <c r="J257" s="917">
        <f>ROUND(I257*C257,2)</f>
        <v>0</v>
      </c>
      <c r="K257" s="917">
        <f t="shared" si="45"/>
        <v>0</v>
      </c>
    </row>
    <row r="258" spans="1:13" x14ac:dyDescent="0.25">
      <c r="A258" s="909"/>
      <c r="B258" s="894" t="s">
        <v>679</v>
      </c>
      <c r="C258" s="905"/>
      <c r="D258" s="915">
        <f>'Sch M 2.2'!Q1216</f>
        <v>0</v>
      </c>
      <c r="E258" s="929">
        <f>'Sch M 2.2'!D1221</f>
        <v>0.54430000000000001</v>
      </c>
      <c r="F258" s="917">
        <f>ROUND(E258*D258,2)</f>
        <v>0</v>
      </c>
      <c r="G258" s="917"/>
      <c r="H258" s="917">
        <f t="shared" si="44"/>
        <v>0</v>
      </c>
      <c r="I258" s="920">
        <f>I177</f>
        <v>0.6321</v>
      </c>
      <c r="J258" s="917">
        <f>ROUND(I258*D258,2)</f>
        <v>0</v>
      </c>
      <c r="K258" s="917">
        <f t="shared" si="45"/>
        <v>0</v>
      </c>
    </row>
    <row r="259" spans="1:13" x14ac:dyDescent="0.25">
      <c r="A259" s="909"/>
      <c r="B259" s="894" t="s">
        <v>700</v>
      </c>
      <c r="C259" s="905"/>
      <c r="D259" s="915">
        <f>'Sch M 2.2'!Q1217</f>
        <v>0</v>
      </c>
      <c r="E259" s="929">
        <f>'Sch M 2.2'!D1222</f>
        <v>0.28899999999999998</v>
      </c>
      <c r="F259" s="917">
        <f>ROUND(E259*D259,2)</f>
        <v>0</v>
      </c>
      <c r="G259" s="917"/>
      <c r="H259" s="917">
        <f t="shared" si="44"/>
        <v>0</v>
      </c>
      <c r="I259" s="920">
        <f>I178</f>
        <v>0.37730000000000002</v>
      </c>
      <c r="J259" s="917">
        <f>ROUND(I259*D259,2)</f>
        <v>0</v>
      </c>
      <c r="K259" s="917">
        <f t="shared" si="45"/>
        <v>0</v>
      </c>
    </row>
    <row r="260" spans="1:13" x14ac:dyDescent="0.25">
      <c r="A260" s="909"/>
      <c r="B260" s="894" t="s">
        <v>680</v>
      </c>
      <c r="C260" s="905"/>
      <c r="D260" s="915">
        <f>'Sch M 2.2'!Q1218</f>
        <v>0</v>
      </c>
      <c r="E260" s="929">
        <f>'Sch M 2.2'!D1223</f>
        <v>0.28899999999999998</v>
      </c>
      <c r="F260" s="917">
        <f>ROUND(E260*D260,2)</f>
        <v>0</v>
      </c>
      <c r="G260" s="917"/>
      <c r="H260" s="917">
        <f t="shared" ref="H260" si="46">F260+G260</f>
        <v>0</v>
      </c>
      <c r="I260" s="920">
        <f>I179</f>
        <v>0.32829999999999998</v>
      </c>
      <c r="J260" s="917">
        <f>ROUND(I260*D260,2)</f>
        <v>0</v>
      </c>
      <c r="K260" s="917">
        <f t="shared" si="45"/>
        <v>0</v>
      </c>
    </row>
    <row r="261" spans="1:13" x14ac:dyDescent="0.25">
      <c r="A261" s="909"/>
      <c r="B261" s="894" t="s">
        <v>193</v>
      </c>
      <c r="C261" s="905"/>
      <c r="D261" s="939"/>
      <c r="E261" s="938">
        <f>'Sch M 2.2'!D1213</f>
        <v>449.59</v>
      </c>
      <c r="F261" s="924">
        <f>ROUND(C256*E261,2)</f>
        <v>0</v>
      </c>
      <c r="G261" s="924"/>
      <c r="H261" s="924">
        <f t="shared" si="44"/>
        <v>0</v>
      </c>
      <c r="I261" s="928">
        <f>I180</f>
        <v>0</v>
      </c>
      <c r="J261" s="924">
        <f>ROUND(C256*I261,2)</f>
        <v>0</v>
      </c>
      <c r="K261" s="924">
        <f t="shared" si="45"/>
        <v>0</v>
      </c>
    </row>
    <row r="262" spans="1:13" x14ac:dyDescent="0.25">
      <c r="A262" s="909"/>
      <c r="B262" s="894" t="s">
        <v>9</v>
      </c>
      <c r="C262" s="905"/>
      <c r="D262" s="915">
        <f>SUM(D258:D259)</f>
        <v>0</v>
      </c>
      <c r="E262" s="911"/>
      <c r="F262" s="917">
        <f>SUM(F256:F261)</f>
        <v>0</v>
      </c>
      <c r="G262" s="917"/>
      <c r="H262" s="921">
        <f>SUM(H256:H261)</f>
        <v>0</v>
      </c>
      <c r="I262" s="930"/>
      <c r="J262" s="917">
        <f>SUM(J256:J261)</f>
        <v>0</v>
      </c>
      <c r="K262" s="917">
        <f>SUM(K256:K261)</f>
        <v>0</v>
      </c>
      <c r="L262" s="926"/>
    </row>
    <row r="263" spans="1:13" x14ac:dyDescent="0.25">
      <c r="A263" s="909"/>
      <c r="C263" s="905"/>
      <c r="D263" s="915"/>
      <c r="E263" s="911"/>
      <c r="F263" s="917"/>
      <c r="G263" s="917"/>
      <c r="H263" s="917"/>
      <c r="I263" s="930"/>
      <c r="J263" s="917"/>
      <c r="K263" s="917"/>
      <c r="L263" s="926"/>
    </row>
    <row r="264" spans="1:13" x14ac:dyDescent="0.25">
      <c r="A264" s="909"/>
      <c r="C264" s="905"/>
      <c r="D264" s="915"/>
      <c r="E264" s="911"/>
      <c r="F264" s="917"/>
      <c r="G264" s="917"/>
      <c r="H264" s="917"/>
      <c r="I264" s="930"/>
      <c r="J264" s="917"/>
      <c r="K264" s="917"/>
      <c r="L264" s="926"/>
    </row>
    <row r="265" spans="1:13" x14ac:dyDescent="0.25">
      <c r="A265" s="909"/>
      <c r="C265" s="905"/>
      <c r="D265" s="915"/>
      <c r="E265" s="911"/>
      <c r="F265" s="917"/>
      <c r="G265" s="917"/>
      <c r="H265" s="917"/>
      <c r="I265" s="930"/>
      <c r="J265" s="917"/>
      <c r="K265" s="917"/>
      <c r="L265" s="926"/>
    </row>
    <row r="266" spans="1:13" x14ac:dyDescent="0.25">
      <c r="A266" s="909"/>
      <c r="C266" s="905"/>
      <c r="D266" s="915"/>
      <c r="E266" s="911"/>
      <c r="F266" s="917"/>
      <c r="G266" s="917"/>
      <c r="H266" s="917"/>
      <c r="I266" s="930"/>
      <c r="J266" s="917"/>
      <c r="K266" s="917"/>
      <c r="L266" s="926"/>
    </row>
    <row r="267" spans="1:13" x14ac:dyDescent="0.25">
      <c r="A267" s="1005" t="str">
        <f>$A$1</f>
        <v>PSC Case No. 2016-00162</v>
      </c>
      <c r="B267" s="1005"/>
      <c r="C267" s="1005"/>
      <c r="D267" s="1005"/>
      <c r="E267" s="1005"/>
      <c r="F267" s="1005"/>
      <c r="G267" s="1005"/>
      <c r="H267" s="1005"/>
      <c r="I267" s="1005"/>
      <c r="J267" s="1005"/>
      <c r="K267" s="1005"/>
      <c r="L267" s="1005"/>
    </row>
    <row r="268" spans="1:13" x14ac:dyDescent="0.25">
      <c r="A268" s="1005" t="s">
        <v>684</v>
      </c>
      <c r="B268" s="1005"/>
      <c r="C268" s="1005"/>
      <c r="D268" s="1005"/>
      <c r="E268" s="1005"/>
      <c r="F268" s="1005"/>
      <c r="G268" s="1005"/>
      <c r="H268" s="1005"/>
      <c r="I268" s="1005"/>
      <c r="J268" s="1005"/>
      <c r="K268" s="1005"/>
      <c r="L268" s="1005"/>
      <c r="M268" s="895"/>
    </row>
    <row r="269" spans="1:13" x14ac:dyDescent="0.25">
      <c r="A269" s="1006" t="s">
        <v>36</v>
      </c>
      <c r="B269" s="1006"/>
      <c r="C269" s="1006"/>
      <c r="D269" s="1006"/>
      <c r="E269" s="1006"/>
      <c r="F269" s="1006"/>
      <c r="G269" s="1006"/>
      <c r="H269" s="1006"/>
      <c r="I269" s="1006"/>
      <c r="J269" s="1006"/>
      <c r="K269" s="1006"/>
    </row>
    <row r="270" spans="1:13" x14ac:dyDescent="0.25">
      <c r="A270" s="1006" t="str">
        <f>A4</f>
        <v>Case No. 2016-00162</v>
      </c>
      <c r="B270" s="1006"/>
      <c r="C270" s="1006"/>
      <c r="D270" s="1006"/>
      <c r="E270" s="1006"/>
      <c r="F270" s="1006"/>
      <c r="G270" s="1006"/>
      <c r="H270" s="1006"/>
      <c r="I270" s="1006"/>
      <c r="J270" s="1006"/>
      <c r="K270" s="1006"/>
    </row>
    <row r="271" spans="1:13" x14ac:dyDescent="0.25">
      <c r="A271" s="1006" t="s">
        <v>654</v>
      </c>
      <c r="B271" s="1006"/>
      <c r="C271" s="1006"/>
      <c r="D271" s="1006"/>
      <c r="E271" s="1006"/>
      <c r="F271" s="1006"/>
      <c r="G271" s="1006"/>
      <c r="H271" s="1006"/>
      <c r="I271" s="1006"/>
      <c r="J271" s="1006"/>
      <c r="K271" s="1006"/>
    </row>
    <row r="272" spans="1:13" x14ac:dyDescent="0.25">
      <c r="G272" s="896" t="s">
        <v>392</v>
      </c>
    </row>
    <row r="273" spans="1:12" x14ac:dyDescent="0.25">
      <c r="A273" s="896" t="s">
        <v>0</v>
      </c>
      <c r="B273" s="896" t="s">
        <v>655</v>
      </c>
      <c r="C273" s="898" t="s">
        <v>656</v>
      </c>
      <c r="D273" s="899" t="s">
        <v>26</v>
      </c>
      <c r="E273" s="896" t="s">
        <v>68</v>
      </c>
      <c r="F273" s="896" t="s">
        <v>657</v>
      </c>
      <c r="G273" s="896" t="s">
        <v>396</v>
      </c>
      <c r="H273" s="896" t="s">
        <v>20</v>
      </c>
      <c r="I273" s="900" t="s">
        <v>30</v>
      </c>
      <c r="J273" s="896" t="s">
        <v>658</v>
      </c>
      <c r="K273" s="896" t="s">
        <v>20</v>
      </c>
      <c r="L273" s="896"/>
    </row>
    <row r="274" spans="1:12" x14ac:dyDescent="0.25">
      <c r="A274" s="901" t="s">
        <v>40</v>
      </c>
      <c r="B274" s="901" t="s">
        <v>4</v>
      </c>
      <c r="C274" s="902" t="s">
        <v>659</v>
      </c>
      <c r="D274" s="903" t="s">
        <v>28</v>
      </c>
      <c r="E274" s="901" t="s">
        <v>48</v>
      </c>
      <c r="F274" s="901" t="s">
        <v>20</v>
      </c>
      <c r="G274" s="901" t="s">
        <v>393</v>
      </c>
      <c r="H274" s="901" t="s">
        <v>5</v>
      </c>
      <c r="I274" s="904" t="s">
        <v>48</v>
      </c>
      <c r="J274" s="901" t="s">
        <v>20</v>
      </c>
      <c r="K274" s="901" t="s">
        <v>147</v>
      </c>
      <c r="L274" s="901"/>
    </row>
    <row r="275" spans="1:12" x14ac:dyDescent="0.25">
      <c r="C275" s="905"/>
      <c r="D275" s="906"/>
      <c r="E275" s="907" t="s">
        <v>660</v>
      </c>
      <c r="F275" s="907" t="s">
        <v>60</v>
      </c>
      <c r="G275" s="907" t="s">
        <v>60</v>
      </c>
      <c r="H275" s="907" t="s">
        <v>60</v>
      </c>
      <c r="I275" s="908" t="s">
        <v>660</v>
      </c>
      <c r="J275" s="907" t="s">
        <v>60</v>
      </c>
      <c r="K275" s="907" t="s">
        <v>60</v>
      </c>
      <c r="L275" s="907"/>
    </row>
    <row r="276" spans="1:12" x14ac:dyDescent="0.25">
      <c r="A276" s="909"/>
      <c r="B276" s="940" t="s">
        <v>95</v>
      </c>
      <c r="C276" s="910"/>
      <c r="D276" s="915"/>
      <c r="E276" s="925"/>
      <c r="F276" s="921"/>
      <c r="G276" s="921"/>
      <c r="H276" s="921"/>
      <c r="I276" s="920"/>
      <c r="J276" s="921"/>
      <c r="K276" s="917"/>
      <c r="L276" s="926"/>
    </row>
    <row r="277" spans="1:12" x14ac:dyDescent="0.25">
      <c r="A277" s="909"/>
      <c r="C277" s="905"/>
      <c r="D277" s="915"/>
      <c r="E277" s="911"/>
      <c r="F277" s="917"/>
      <c r="G277" s="917"/>
      <c r="H277" s="917"/>
      <c r="I277" s="930"/>
      <c r="J277" s="917"/>
      <c r="K277" s="917"/>
      <c r="L277" s="926"/>
    </row>
    <row r="278" spans="1:12" x14ac:dyDescent="0.25">
      <c r="A278" s="909" t="s">
        <v>101</v>
      </c>
      <c r="B278" s="894" t="s">
        <v>119</v>
      </c>
      <c r="C278" s="905"/>
      <c r="D278" s="915"/>
      <c r="E278" s="911"/>
      <c r="F278" s="917"/>
      <c r="G278" s="917"/>
      <c r="H278" s="917"/>
      <c r="I278" s="930"/>
      <c r="J278" s="917"/>
      <c r="K278" s="917"/>
      <c r="L278" s="926"/>
    </row>
    <row r="279" spans="1:12" x14ac:dyDescent="0.25">
      <c r="A279" s="909"/>
      <c r="B279" s="894" t="s">
        <v>662</v>
      </c>
      <c r="C279" s="910">
        <f>'Sch M 2.2'!Q1236</f>
        <v>12</v>
      </c>
      <c r="D279" s="934"/>
      <c r="E279" s="938">
        <f>'Sch M 2.2'!D1237</f>
        <v>1007.05</v>
      </c>
      <c r="F279" s="917">
        <f>ROUND(E279*C279,2)</f>
        <v>12084.6</v>
      </c>
      <c r="G279" s="917"/>
      <c r="H279" s="917">
        <f t="shared" ref="H279:H283" si="47">F279+G279</f>
        <v>12084.6</v>
      </c>
      <c r="I279" s="928">
        <f>E279</f>
        <v>1007.05</v>
      </c>
      <c r="J279" s="917">
        <f>ROUND(I279*C279,2)</f>
        <v>12084.6</v>
      </c>
      <c r="K279" s="917">
        <f>J279-H279</f>
        <v>0</v>
      </c>
    </row>
    <row r="280" spans="1:12" x14ac:dyDescent="0.25">
      <c r="A280" s="909"/>
      <c r="B280" s="894" t="s">
        <v>678</v>
      </c>
      <c r="C280" s="910">
        <f>C279</f>
        <v>12</v>
      </c>
      <c r="D280" s="934"/>
      <c r="E280" s="938">
        <f>'Sch M 2.2'!D1238</f>
        <v>55.9</v>
      </c>
      <c r="F280" s="917">
        <f>ROUND(E280*C280,2)</f>
        <v>670.8</v>
      </c>
      <c r="G280" s="917"/>
      <c r="H280" s="917">
        <f t="shared" si="47"/>
        <v>670.8</v>
      </c>
      <c r="I280" s="928">
        <f>E280</f>
        <v>55.9</v>
      </c>
      <c r="J280" s="917">
        <f>ROUND(I280*C280,2)</f>
        <v>670.8</v>
      </c>
      <c r="K280" s="917">
        <f>J280-H280</f>
        <v>0</v>
      </c>
    </row>
    <row r="281" spans="1:12" x14ac:dyDescent="0.25">
      <c r="A281" s="909"/>
      <c r="B281" s="894" t="s">
        <v>685</v>
      </c>
      <c r="C281" s="905"/>
      <c r="D281" s="915">
        <f>'Sch M 2.2'!Q1241</f>
        <v>1650000</v>
      </c>
      <c r="E281" s="929">
        <f>'Sch M 2.2'!D1245</f>
        <v>0.28999999999999998</v>
      </c>
      <c r="F281" s="917">
        <f>ROUND(E281*D281,2)</f>
        <v>478500</v>
      </c>
      <c r="G281" s="917"/>
      <c r="H281" s="917">
        <f t="shared" si="47"/>
        <v>478500</v>
      </c>
      <c r="I281" s="920">
        <f>E281</f>
        <v>0.28999999999999998</v>
      </c>
      <c r="J281" s="917">
        <f>ROUND(I281*D281,2)</f>
        <v>478500</v>
      </c>
      <c r="K281" s="917">
        <f>J281-H281</f>
        <v>0</v>
      </c>
    </row>
    <row r="282" spans="1:12" x14ac:dyDescent="0.25">
      <c r="A282" s="909"/>
      <c r="B282" s="894" t="s">
        <v>686</v>
      </c>
      <c r="C282" s="905"/>
      <c r="D282" s="915">
        <f>'Sch M 2.2'!Q1242</f>
        <v>-70000</v>
      </c>
      <c r="E282" s="929">
        <f>'Sch M 2.2'!D1246</f>
        <v>0.16</v>
      </c>
      <c r="F282" s="917">
        <f>ROUND(E282*D282,2)</f>
        <v>-11200</v>
      </c>
      <c r="G282" s="924"/>
      <c r="H282" s="917">
        <f t="shared" si="47"/>
        <v>-11200</v>
      </c>
      <c r="I282" s="920">
        <f>E282</f>
        <v>0.16</v>
      </c>
      <c r="J282" s="917">
        <f>ROUND(I282*D282,2)</f>
        <v>-11200</v>
      </c>
      <c r="K282" s="924">
        <f>J282-H282</f>
        <v>0</v>
      </c>
    </row>
    <row r="283" spans="1:12" x14ac:dyDescent="0.25">
      <c r="A283" s="909"/>
      <c r="B283" s="894" t="s">
        <v>687</v>
      </c>
      <c r="C283" s="905"/>
      <c r="D283" s="932"/>
      <c r="E283" s="919"/>
      <c r="F283" s="924">
        <f>'Sch M 2.2'!Q1251</f>
        <v>185945</v>
      </c>
      <c r="G283" s="924"/>
      <c r="H283" s="924">
        <f t="shared" si="47"/>
        <v>185945</v>
      </c>
      <c r="I283" s="920"/>
      <c r="J283" s="924">
        <f>F283</f>
        <v>185945</v>
      </c>
      <c r="K283" s="924">
        <f>J283-H283</f>
        <v>0</v>
      </c>
    </row>
    <row r="284" spans="1:12" x14ac:dyDescent="0.25">
      <c r="A284" s="909"/>
      <c r="B284" s="894" t="s">
        <v>9</v>
      </c>
      <c r="C284" s="905"/>
      <c r="D284" s="915">
        <f>SUM(D281:D282)</f>
        <v>1580000</v>
      </c>
      <c r="E284" s="911"/>
      <c r="F284" s="917">
        <f>SUM(F279:F283)</f>
        <v>666000.4</v>
      </c>
      <c r="G284" s="917"/>
      <c r="H284" s="921">
        <f>SUM(H274:H283)</f>
        <v>666000.4</v>
      </c>
      <c r="I284" s="930"/>
      <c r="J284" s="917">
        <f>SUM(J279:J283)</f>
        <v>666000.4</v>
      </c>
      <c r="K284" s="917">
        <f>SUM(K279:K283)</f>
        <v>0</v>
      </c>
      <c r="L284" s="926"/>
    </row>
    <row r="285" spans="1:12" x14ac:dyDescent="0.25">
      <c r="A285" s="909"/>
      <c r="C285" s="905"/>
      <c r="D285" s="915"/>
      <c r="E285" s="911"/>
      <c r="F285" s="917"/>
      <c r="G285" s="917"/>
      <c r="H285" s="917"/>
      <c r="I285" s="930"/>
      <c r="J285" s="917"/>
      <c r="K285" s="917"/>
      <c r="L285" s="926"/>
    </row>
    <row r="286" spans="1:12" x14ac:dyDescent="0.25">
      <c r="A286" s="909" t="s">
        <v>688</v>
      </c>
      <c r="C286" s="905"/>
      <c r="D286" s="906"/>
      <c r="E286" s="911"/>
      <c r="F286" s="912"/>
      <c r="G286" s="912"/>
      <c r="H286" s="912"/>
      <c r="I286" s="930"/>
      <c r="J286" s="931"/>
      <c r="K286" s="927"/>
    </row>
    <row r="287" spans="1:12" x14ac:dyDescent="0.25">
      <c r="B287" s="894" t="s">
        <v>179</v>
      </c>
      <c r="C287" s="905"/>
      <c r="D287" s="906"/>
      <c r="E287" s="911"/>
      <c r="F287" s="917">
        <f>'Sch M 2.2'!Q369</f>
        <v>476000</v>
      </c>
      <c r="G287" s="917"/>
      <c r="H287" s="917">
        <f t="shared" ref="H287:H292" si="48">F287+G287</f>
        <v>476000</v>
      </c>
      <c r="I287" s="930"/>
      <c r="J287" s="972">
        <f>'Sch M 2.3'!Q365</f>
        <v>545732</v>
      </c>
      <c r="K287" s="917">
        <f t="shared" ref="K287:K292" si="49">J287-H287</f>
        <v>69732</v>
      </c>
    </row>
    <row r="288" spans="1:12" x14ac:dyDescent="0.25">
      <c r="B288" s="894" t="s">
        <v>103</v>
      </c>
      <c r="C288" s="905"/>
      <c r="D288" s="906"/>
      <c r="E288" s="911"/>
      <c r="F288" s="917">
        <f>'Sch M 2.2'!Q370</f>
        <v>137000</v>
      </c>
      <c r="G288" s="917"/>
      <c r="H288" s="917">
        <f t="shared" si="48"/>
        <v>137000</v>
      </c>
      <c r="I288" s="930"/>
      <c r="J288" s="922">
        <f>F288</f>
        <v>137000</v>
      </c>
      <c r="K288" s="917">
        <f t="shared" si="49"/>
        <v>0</v>
      </c>
    </row>
    <row r="289" spans="1:13" x14ac:dyDescent="0.25">
      <c r="B289" s="894" t="s">
        <v>314</v>
      </c>
      <c r="C289" s="905"/>
      <c r="D289" s="906"/>
      <c r="E289" s="911"/>
      <c r="F289" s="917">
        <f>'Sch M 2.2'!Q371</f>
        <v>72000</v>
      </c>
      <c r="G289" s="917"/>
      <c r="H289" s="917">
        <f t="shared" si="48"/>
        <v>72000</v>
      </c>
      <c r="I289" s="930"/>
      <c r="J289" s="922">
        <f t="shared" ref="J289:J292" si="50">F289</f>
        <v>72000</v>
      </c>
      <c r="K289" s="917">
        <f t="shared" si="49"/>
        <v>0</v>
      </c>
    </row>
    <row r="290" spans="1:13" x14ac:dyDescent="0.25">
      <c r="B290" s="894" t="s">
        <v>104</v>
      </c>
      <c r="C290" s="905"/>
      <c r="D290" s="906"/>
      <c r="E290" s="911"/>
      <c r="F290" s="917">
        <f>'Sch M 2.2'!Q372</f>
        <v>0</v>
      </c>
      <c r="G290" s="917"/>
      <c r="H290" s="917">
        <f t="shared" si="48"/>
        <v>0</v>
      </c>
      <c r="I290" s="930"/>
      <c r="J290" s="922">
        <f t="shared" si="50"/>
        <v>0</v>
      </c>
      <c r="K290" s="917">
        <f t="shared" si="49"/>
        <v>0</v>
      </c>
    </row>
    <row r="291" spans="1:13" x14ac:dyDescent="0.25">
      <c r="B291" s="894" t="s">
        <v>525</v>
      </c>
      <c r="C291" s="905"/>
      <c r="D291" s="906"/>
      <c r="E291" s="911"/>
      <c r="F291" s="944">
        <v>0</v>
      </c>
      <c r="G291" s="917"/>
      <c r="H291" s="917">
        <f t="shared" si="48"/>
        <v>0</v>
      </c>
      <c r="I291" s="930"/>
      <c r="J291" s="922">
        <f t="shared" si="50"/>
        <v>0</v>
      </c>
      <c r="K291" s="917">
        <f t="shared" si="49"/>
        <v>0</v>
      </c>
    </row>
    <row r="292" spans="1:13" x14ac:dyDescent="0.25">
      <c r="B292" s="894" t="s">
        <v>105</v>
      </c>
      <c r="C292" s="905"/>
      <c r="D292" s="906"/>
      <c r="E292" s="911"/>
      <c r="F292" s="924">
        <f>'Sch M 2.2'!Q373</f>
        <v>515000</v>
      </c>
      <c r="G292" s="924"/>
      <c r="H292" s="924">
        <f t="shared" si="48"/>
        <v>515000</v>
      </c>
      <c r="I292" s="930"/>
      <c r="J292" s="923">
        <f t="shared" si="50"/>
        <v>515000</v>
      </c>
      <c r="K292" s="924">
        <f t="shared" si="49"/>
        <v>0</v>
      </c>
    </row>
    <row r="293" spans="1:13" x14ac:dyDescent="0.25">
      <c r="B293" s="894" t="s">
        <v>9</v>
      </c>
      <c r="C293" s="905"/>
      <c r="D293" s="906"/>
      <c r="E293" s="911"/>
      <c r="F293" s="917">
        <f>SUM(F287:F292)</f>
        <v>1200000</v>
      </c>
      <c r="G293" s="917"/>
      <c r="H293" s="921">
        <f>SUM(H287:H292)</f>
        <v>1200000</v>
      </c>
      <c r="I293" s="930"/>
      <c r="J293" s="917">
        <f>SUM(J287:J292)</f>
        <v>1269732</v>
      </c>
      <c r="K293" s="917">
        <f>SUM(K287:K292)</f>
        <v>69732</v>
      </c>
    </row>
    <row r="294" spans="1:13" x14ac:dyDescent="0.25">
      <c r="B294" s="945"/>
      <c r="C294" s="905"/>
      <c r="D294" s="906"/>
      <c r="E294" s="911"/>
      <c r="F294" s="917"/>
      <c r="G294" s="917"/>
      <c r="H294" s="917"/>
      <c r="I294" s="930"/>
      <c r="J294" s="917"/>
      <c r="K294" s="917"/>
    </row>
    <row r="295" spans="1:13" x14ac:dyDescent="0.25">
      <c r="A295" s="909" t="s">
        <v>689</v>
      </c>
      <c r="C295" s="905"/>
      <c r="D295" s="906"/>
      <c r="E295" s="946"/>
      <c r="F295" s="912"/>
      <c r="G295" s="912"/>
      <c r="H295" s="912"/>
      <c r="I295" s="930"/>
      <c r="J295" s="931"/>
      <c r="K295" s="927"/>
    </row>
    <row r="296" spans="1:13" x14ac:dyDescent="0.25">
      <c r="B296" s="909" t="s">
        <v>690</v>
      </c>
      <c r="C296" s="947"/>
      <c r="D296" s="948"/>
      <c r="E296" s="911"/>
      <c r="F296" s="917">
        <f>F302-SUM(F297:F301)</f>
        <v>64405955.539999992</v>
      </c>
      <c r="G296" s="917"/>
      <c r="H296" s="917">
        <f t="shared" ref="H296:H301" si="51">F296+G296</f>
        <v>64405955.539999992</v>
      </c>
      <c r="I296" s="930"/>
      <c r="J296" s="917">
        <f>J302-SUM(J297:J301)</f>
        <v>82784513.560000017</v>
      </c>
      <c r="K296" s="917">
        <f>J296-H296</f>
        <v>18378558.020000026</v>
      </c>
    </row>
    <row r="297" spans="1:13" x14ac:dyDescent="0.25">
      <c r="B297" s="949" t="s">
        <v>664</v>
      </c>
      <c r="C297" s="905"/>
      <c r="D297" s="906"/>
      <c r="E297" s="911"/>
      <c r="F297" s="917">
        <f>F17+F91+F102+F123+F131</f>
        <v>155485.87</v>
      </c>
      <c r="G297" s="917">
        <f>G17+G91+G102+G123+G131</f>
        <v>97178.68</v>
      </c>
      <c r="H297" s="917">
        <f t="shared" si="51"/>
        <v>252664.55</v>
      </c>
      <c r="I297" s="930"/>
      <c r="J297" s="917">
        <f>J17+J91+J102+J123+J131</f>
        <v>252664.53999999998</v>
      </c>
      <c r="K297" s="917">
        <f t="shared" ref="K297:K301" si="52">J297-H297</f>
        <v>-1.0000000009313226E-2</v>
      </c>
    </row>
    <row r="298" spans="1:13" x14ac:dyDescent="0.25">
      <c r="B298" s="949" t="s">
        <v>665</v>
      </c>
      <c r="C298" s="905"/>
      <c r="D298" s="906"/>
      <c r="E298" s="911"/>
      <c r="F298" s="917">
        <f>F18+F24+F30+F92+F103+F124+F132</f>
        <v>21475950.109999999</v>
      </c>
      <c r="G298" s="917"/>
      <c r="H298" s="917">
        <f t="shared" si="51"/>
        <v>21475950.109999999</v>
      </c>
      <c r="I298" s="930"/>
      <c r="J298" s="917">
        <f>J18+J24+J30+J92+J103+J124+J132</f>
        <v>21475950.109999999</v>
      </c>
      <c r="K298" s="917">
        <f t="shared" si="52"/>
        <v>0</v>
      </c>
    </row>
    <row r="299" spans="1:13" x14ac:dyDescent="0.25">
      <c r="B299" s="949" t="s">
        <v>193</v>
      </c>
      <c r="C299" s="905"/>
      <c r="D299" s="906"/>
      <c r="E299" s="911"/>
      <c r="F299" s="917">
        <f>F14+F90+F101+F122+F130+F139+F150+F159+F180+F189+F199+F209+F261</f>
        <v>5040318.2</v>
      </c>
      <c r="G299" s="917"/>
      <c r="H299" s="917">
        <f t="shared" si="51"/>
        <v>5040318.2</v>
      </c>
      <c r="I299" s="930"/>
      <c r="J299" s="917">
        <f>J14+J90+J101+J122+J130+J139+J150+J159+J180+J189+J199+J209+J261</f>
        <v>0</v>
      </c>
      <c r="K299" s="917">
        <f t="shared" si="52"/>
        <v>-5040318.2</v>
      </c>
    </row>
    <row r="300" spans="1:13" x14ac:dyDescent="0.25">
      <c r="B300" s="949" t="s">
        <v>144</v>
      </c>
      <c r="C300" s="905"/>
      <c r="D300" s="906"/>
      <c r="E300" s="911"/>
      <c r="F300" s="917">
        <f>F16+F141</f>
        <v>474918.30999999994</v>
      </c>
      <c r="G300" s="917"/>
      <c r="H300" s="917">
        <f t="shared" si="51"/>
        <v>474918.30999999994</v>
      </c>
      <c r="I300" s="930"/>
      <c r="J300" s="917">
        <f>J16+J141</f>
        <v>474918.30999999994</v>
      </c>
      <c r="K300" s="917">
        <f t="shared" si="52"/>
        <v>0</v>
      </c>
    </row>
    <row r="301" spans="1:13" x14ac:dyDescent="0.25">
      <c r="B301" s="909" t="s">
        <v>102</v>
      </c>
      <c r="C301" s="905"/>
      <c r="D301" s="906"/>
      <c r="E301" s="911"/>
      <c r="F301" s="924">
        <f>F293</f>
        <v>1200000</v>
      </c>
      <c r="G301" s="924"/>
      <c r="H301" s="924">
        <f t="shared" si="51"/>
        <v>1200000</v>
      </c>
      <c r="I301" s="950"/>
      <c r="J301" s="924">
        <f>J293</f>
        <v>1269732</v>
      </c>
      <c r="K301" s="924">
        <f t="shared" si="52"/>
        <v>69732</v>
      </c>
    </row>
    <row r="302" spans="1:13" x14ac:dyDescent="0.25">
      <c r="B302" s="909" t="s">
        <v>691</v>
      </c>
      <c r="C302" s="905"/>
      <c r="D302" s="906"/>
      <c r="E302" s="951"/>
      <c r="F302" s="952">
        <f>F19+F25+F31+F36+F41+F46+F51+F66+F71+F77+F82+F93+F104+F125+F133+F142+F151+F160+F181+F190+F200+F210+F228+F234+F240+F246+F253+F262+F284+F293</f>
        <v>92752628.029999986</v>
      </c>
      <c r="G302" s="952"/>
      <c r="H302" s="953">
        <f>SUM(H296:H301)</f>
        <v>92849806.709999993</v>
      </c>
      <c r="I302" s="954"/>
      <c r="J302" s="952">
        <f>J19+J25+J31+J36+J41+J46+J51+J66+J71+J77+J82+J93+J104+J125+J133+J142+J151+J160+J181+J190+J200+J210+J228+J234+J240+J246+J253+J262+J284+J293</f>
        <v>106257778.52000001</v>
      </c>
      <c r="K302" s="952">
        <f>SUM(K296:K301)</f>
        <v>13407971.810000025</v>
      </c>
      <c r="L302" s="955"/>
      <c r="M302" s="912"/>
    </row>
    <row r="303" spans="1:13" ht="13.8" thickBot="1" x14ac:dyDescent="0.3">
      <c r="B303" s="956"/>
      <c r="C303" s="957"/>
      <c r="D303" s="958"/>
      <c r="E303" s="959"/>
      <c r="F303" s="960"/>
      <c r="G303" s="960"/>
      <c r="H303" s="960"/>
      <c r="I303" s="961"/>
      <c r="J303" s="960"/>
      <c r="K303" s="960"/>
      <c r="L303" s="955"/>
    </row>
    <row r="304" spans="1:13" x14ac:dyDescent="0.25">
      <c r="B304" s="940"/>
      <c r="C304" s="910"/>
      <c r="D304" s="915"/>
      <c r="E304" s="925"/>
      <c r="F304" s="921"/>
      <c r="G304" s="921"/>
      <c r="H304" s="921"/>
      <c r="I304" s="920"/>
      <c r="J304" s="921"/>
      <c r="K304" s="917"/>
      <c r="L304" s="926"/>
    </row>
    <row r="305" spans="1:12" x14ac:dyDescent="0.25">
      <c r="A305" s="909" t="s">
        <v>692</v>
      </c>
      <c r="B305" s="909"/>
      <c r="C305" s="905"/>
      <c r="D305" s="906"/>
      <c r="E305" s="951"/>
      <c r="F305" s="952"/>
      <c r="G305" s="952"/>
      <c r="H305" s="952"/>
      <c r="I305" s="954"/>
      <c r="J305" s="952"/>
      <c r="K305" s="952"/>
      <c r="L305" s="955"/>
    </row>
    <row r="306" spans="1:12" x14ac:dyDescent="0.25">
      <c r="B306" s="894" t="s">
        <v>76</v>
      </c>
      <c r="C306" s="910">
        <f>C12+C28+C34+C44+C49+C64+C74+C80+C137</f>
        <v>1462984</v>
      </c>
      <c r="D306" s="915">
        <f>D13+D29+D35+D45+D50+D65+D77+D81+D138</f>
        <v>7960000.1000000006</v>
      </c>
      <c r="E306" s="951"/>
      <c r="F306" s="910">
        <f>F19+F31+F36+F46+F51+F66+F77+F82+F142</f>
        <v>58662685.599999979</v>
      </c>
      <c r="G306" s="910"/>
      <c r="H306" s="910">
        <f>H19+H31+H36+H46+H51+H66+H77+H82+H142</f>
        <v>58725166.409999982</v>
      </c>
      <c r="I306" s="936"/>
      <c r="J306" s="910">
        <f>J19+J31+J36+J46+J51+J66+J77+J82+J142</f>
        <v>67446133.649999991</v>
      </c>
      <c r="K306" s="917">
        <f>J306-H306</f>
        <v>8720967.2400000095</v>
      </c>
      <c r="L306" s="962"/>
    </row>
    <row r="307" spans="1:12" x14ac:dyDescent="0.25">
      <c r="B307" s="894" t="s">
        <v>693</v>
      </c>
      <c r="C307" s="910">
        <f>C22+C39+C69+C85+C96+C145+C154+C193+C203</f>
        <v>167729</v>
      </c>
      <c r="D307" s="915">
        <f>D23+D40+D70+D93+D104+D151+D160+D200+D210</f>
        <v>5750963.4000000013</v>
      </c>
      <c r="E307" s="951"/>
      <c r="F307" s="910">
        <f>F25+F41+F71+F93+F104+F151+F160+F200+F210</f>
        <v>26438514.300000001</v>
      </c>
      <c r="G307" s="910"/>
      <c r="H307" s="910">
        <f>H25+H41+H71+H93+H104+H151+H160+H200+H210</f>
        <v>26473098.960000001</v>
      </c>
      <c r="I307" s="963"/>
      <c r="J307" s="910">
        <f>J25+J41+J71+J93+J104+J151+J160+J200+J210</f>
        <v>30064189.209999997</v>
      </c>
      <c r="K307" s="910">
        <f>J307-H307</f>
        <v>3591090.2499999963</v>
      </c>
      <c r="L307" s="962"/>
    </row>
    <row r="308" spans="1:12" x14ac:dyDescent="0.25">
      <c r="B308" s="894" t="s">
        <v>694</v>
      </c>
      <c r="C308" s="910">
        <f>C128</f>
        <v>24</v>
      </c>
      <c r="D308" s="915">
        <f>D129</f>
        <v>11320.699999999999</v>
      </c>
      <c r="F308" s="910">
        <f>F133</f>
        <v>47711.100000000006</v>
      </c>
      <c r="G308" s="910"/>
      <c r="H308" s="910">
        <f>H133</f>
        <v>47824.310000000005</v>
      </c>
      <c r="I308" s="964"/>
      <c r="J308" s="910">
        <f>J133</f>
        <v>52092.130000000005</v>
      </c>
      <c r="K308" s="910">
        <f>J308-H308</f>
        <v>4267.82</v>
      </c>
      <c r="L308" s="962"/>
    </row>
    <row r="309" spans="1:12" x14ac:dyDescent="0.25">
      <c r="B309" s="894" t="s">
        <v>695</v>
      </c>
      <c r="C309" s="910">
        <f>C225+C243+C249</f>
        <v>84</v>
      </c>
      <c r="D309" s="915">
        <f>D227+D245+D253</f>
        <v>5790491</v>
      </c>
      <c r="F309" s="910">
        <f>F228+F246+F253</f>
        <v>671368.33000000007</v>
      </c>
      <c r="G309" s="910"/>
      <c r="H309" s="910">
        <f>H228+H246+H253</f>
        <v>671368.33000000007</v>
      </c>
      <c r="I309" s="964"/>
      <c r="J309" s="910">
        <f>J228+J246+J253</f>
        <v>671368.33000000007</v>
      </c>
      <c r="K309" s="910">
        <f>J309-H309</f>
        <v>0</v>
      </c>
      <c r="L309" s="962"/>
    </row>
    <row r="310" spans="1:12" x14ac:dyDescent="0.25">
      <c r="B310" s="894" t="s">
        <v>696</v>
      </c>
      <c r="C310" s="965">
        <f>C118+C175+C184+C231+C237+C279</f>
        <v>932</v>
      </c>
      <c r="D310" s="939">
        <f>D125+D181+D190+D233+D239+D284</f>
        <v>9553667.4000000004</v>
      </c>
      <c r="F310" s="910">
        <f>F125+F181+F190+F234+F240+F284</f>
        <v>5732348.7000000002</v>
      </c>
      <c r="G310" s="910"/>
      <c r="H310" s="910">
        <f>H125+H181+H190+H234+H240+H284</f>
        <v>5732348.7000000002</v>
      </c>
      <c r="I310" s="964"/>
      <c r="J310" s="910">
        <f>J125+J181+J190+J234+J240+J284</f>
        <v>6754263.2000000002</v>
      </c>
      <c r="K310" s="910">
        <f>J310-H310</f>
        <v>1021914.5</v>
      </c>
      <c r="L310" s="962"/>
    </row>
    <row r="311" spans="1:12" x14ac:dyDescent="0.25">
      <c r="B311" s="894" t="s">
        <v>102</v>
      </c>
      <c r="C311" s="965"/>
      <c r="D311" s="939"/>
      <c r="F311" s="965">
        <f>F301</f>
        <v>1200000</v>
      </c>
      <c r="G311" s="965"/>
      <c r="H311" s="965">
        <f>H301</f>
        <v>1200000</v>
      </c>
      <c r="I311" s="966"/>
      <c r="J311" s="965">
        <f>J301</f>
        <v>1269732</v>
      </c>
      <c r="K311" s="965">
        <f>K301</f>
        <v>69732</v>
      </c>
      <c r="L311" s="962"/>
    </row>
    <row r="312" spans="1:12" x14ac:dyDescent="0.25">
      <c r="B312" s="894" t="s">
        <v>9</v>
      </c>
      <c r="C312" s="949">
        <f>SUM(C306:C310)</f>
        <v>1631753</v>
      </c>
      <c r="D312" s="967">
        <f>SUM(D306:D310)</f>
        <v>29066442.600000001</v>
      </c>
      <c r="E312" s="909"/>
      <c r="F312" s="968">
        <f>SUM(F306:F311)</f>
        <v>92752628.029999971</v>
      </c>
      <c r="G312" s="968"/>
      <c r="H312" s="968">
        <f>SUM(H306:H311)</f>
        <v>92849806.709999979</v>
      </c>
      <c r="I312" s="953"/>
      <c r="J312" s="968">
        <f>SUM(J306:J311)</f>
        <v>106257778.51999998</v>
      </c>
      <c r="K312" s="968">
        <f>SUM(K306:K311)</f>
        <v>13407971.810000006</v>
      </c>
      <c r="L312" s="962"/>
    </row>
    <row r="313" spans="1:12" x14ac:dyDescent="0.25">
      <c r="C313" s="910"/>
      <c r="D313" s="915"/>
      <c r="F313" s="910"/>
      <c r="G313" s="910"/>
      <c r="H313" s="910"/>
      <c r="I313" s="964"/>
      <c r="J313" s="910"/>
      <c r="K313" s="910"/>
      <c r="L313" s="955"/>
    </row>
    <row r="314" spans="1:12" x14ac:dyDescent="0.25">
      <c r="A314" s="909" t="s">
        <v>697</v>
      </c>
      <c r="C314" s="910"/>
      <c r="D314" s="915"/>
      <c r="F314" s="910"/>
      <c r="G314" s="910"/>
      <c r="H314" s="910"/>
      <c r="I314" s="964"/>
      <c r="J314" s="910"/>
      <c r="K314" s="910"/>
      <c r="L314" s="955"/>
    </row>
    <row r="315" spans="1:12" x14ac:dyDescent="0.25">
      <c r="C315" s="910"/>
      <c r="D315" s="915"/>
      <c r="F315" s="910"/>
      <c r="G315" s="910"/>
      <c r="H315" s="910"/>
      <c r="I315" s="964"/>
      <c r="J315" s="910"/>
      <c r="K315" s="910"/>
      <c r="L315" s="955"/>
    </row>
    <row r="316" spans="1:12" x14ac:dyDescent="0.25">
      <c r="B316" s="969" t="s">
        <v>698</v>
      </c>
      <c r="C316" s="910"/>
      <c r="D316" s="915"/>
      <c r="F316" s="928">
        <f>'Bill Comp MPB-4'!E25</f>
        <v>43.06</v>
      </c>
      <c r="G316" s="928"/>
      <c r="H316" s="928"/>
      <c r="I316" s="928"/>
      <c r="J316" s="970">
        <f>'Bill Comp MPB-4'!E39</f>
        <v>49.15</v>
      </c>
      <c r="K316" s="928">
        <f>J316-F316</f>
        <v>6.0899999999999963</v>
      </c>
      <c r="L316" s="955"/>
    </row>
    <row r="317" spans="1:12" x14ac:dyDescent="0.25">
      <c r="B317" s="969" t="s">
        <v>699</v>
      </c>
      <c r="C317" s="910"/>
      <c r="D317" s="915"/>
      <c r="F317" s="928">
        <f>'Bill Comp MPB-4'!E74</f>
        <v>191.5</v>
      </c>
      <c r="G317" s="928"/>
      <c r="H317" s="928"/>
      <c r="I317" s="928"/>
      <c r="J317" s="970">
        <f>'Bill Comp MPB-4'!E90</f>
        <v>215.82999999999998</v>
      </c>
      <c r="K317" s="928">
        <f>J317-F317</f>
        <v>24.329999999999984</v>
      </c>
      <c r="L317" s="955"/>
    </row>
    <row r="319" spans="1:12" s="897" customFormat="1" x14ac:dyDescent="0.25"/>
    <row r="320" spans="1:12" x14ac:dyDescent="0.25">
      <c r="F320" s="917"/>
      <c r="G320" s="917"/>
      <c r="H320" s="917"/>
      <c r="J320" s="917"/>
      <c r="K320" s="917"/>
      <c r="L320" s="955"/>
    </row>
    <row r="321" spans="6:12" x14ac:dyDescent="0.25">
      <c r="F321" s="917"/>
      <c r="G321" s="917"/>
      <c r="H321" s="917"/>
      <c r="J321" s="917"/>
      <c r="K321" s="917"/>
      <c r="L321" s="955"/>
    </row>
    <row r="322" spans="6:12" x14ac:dyDescent="0.25">
      <c r="F322" s="917"/>
      <c r="G322" s="917"/>
      <c r="H322" s="917"/>
      <c r="J322" s="917"/>
      <c r="K322" s="917"/>
      <c r="L322" s="955"/>
    </row>
    <row r="323" spans="6:12" x14ac:dyDescent="0.25">
      <c r="F323" s="917"/>
      <c r="G323" s="917"/>
      <c r="H323" s="917"/>
    </row>
    <row r="324" spans="6:12" x14ac:dyDescent="0.25">
      <c r="F324" s="917"/>
      <c r="G324" s="917"/>
      <c r="H324" s="917"/>
    </row>
    <row r="325" spans="6:12" x14ac:dyDescent="0.25">
      <c r="F325" s="917"/>
      <c r="G325" s="917"/>
      <c r="H325" s="917"/>
    </row>
    <row r="326" spans="6:12" x14ac:dyDescent="0.25">
      <c r="F326" s="917"/>
      <c r="G326" s="917"/>
      <c r="H326" s="917"/>
    </row>
    <row r="327" spans="6:12" x14ac:dyDescent="0.25">
      <c r="F327" s="917"/>
      <c r="G327" s="917"/>
      <c r="H327" s="917"/>
    </row>
  </sheetData>
  <mergeCells count="30">
    <mergeCell ref="A271:K271"/>
    <mergeCell ref="A165:K165"/>
    <mergeCell ref="A166:K166"/>
    <mergeCell ref="A212:L212"/>
    <mergeCell ref="A213:L213"/>
    <mergeCell ref="A214:K214"/>
    <mergeCell ref="A215:K215"/>
    <mergeCell ref="A216:K216"/>
    <mergeCell ref="A267:L267"/>
    <mergeCell ref="A268:L268"/>
    <mergeCell ref="A269:K269"/>
    <mergeCell ref="A270:K270"/>
    <mergeCell ref="A164:K164"/>
    <mergeCell ref="A54:L54"/>
    <mergeCell ref="A55:K55"/>
    <mergeCell ref="A56:K56"/>
    <mergeCell ref="A57:K57"/>
    <mergeCell ref="A106:L106"/>
    <mergeCell ref="A107:L107"/>
    <mergeCell ref="A108:K108"/>
    <mergeCell ref="A109:K109"/>
    <mergeCell ref="A110:K110"/>
    <mergeCell ref="A162:L162"/>
    <mergeCell ref="A163:L163"/>
    <mergeCell ref="A53:L53"/>
    <mergeCell ref="A1:L1"/>
    <mergeCell ref="A2:L2"/>
    <mergeCell ref="A3:K3"/>
    <mergeCell ref="A4:K4"/>
    <mergeCell ref="A5:K5"/>
  </mergeCells>
  <pageMargins left="0.75" right="0.5" top="0.75" bottom="0.5" header="0.5" footer="0.5"/>
  <pageSetup scale="70" orientation="landscape" r:id="rId1"/>
  <headerFooter alignWithMargins="0"/>
  <rowBreaks count="5" manualBreakCount="5">
    <brk id="52" max="11" man="1"/>
    <brk id="105" max="11" man="1"/>
    <brk id="161" max="11" man="1"/>
    <brk id="211" max="11" man="1"/>
    <brk id="26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AD330"/>
  <sheetViews>
    <sheetView topLeftCell="C25" zoomScale="90" zoomScaleNormal="90" workbookViewId="0">
      <selection activeCell="R53" sqref="R53"/>
    </sheetView>
  </sheetViews>
  <sheetFormatPr defaultColWidth="10" defaultRowHeight="13.2" x14ac:dyDescent="0.25"/>
  <cols>
    <col min="1" max="1" width="15" style="1" customWidth="1"/>
    <col min="2" max="2" width="59.1640625" style="1" customWidth="1"/>
    <col min="3" max="3" width="14.6640625" style="1" customWidth="1"/>
    <col min="4" max="4" width="17.6640625" style="14" customWidth="1"/>
    <col min="5" max="5" width="17.1640625" style="1" customWidth="1"/>
    <col min="6" max="6" width="18.33203125" style="1" customWidth="1"/>
    <col min="7" max="7" width="15.83203125" style="1" customWidth="1"/>
    <col min="8" max="14" width="14.1640625" style="1" customWidth="1"/>
    <col min="15" max="15" width="2" style="1" customWidth="1"/>
    <col min="16" max="16" width="15.83203125" style="1" bestFit="1" customWidth="1"/>
    <col min="17" max="17" width="19.6640625" style="1" bestFit="1" customWidth="1"/>
    <col min="18" max="18" width="17.33203125" style="1" bestFit="1" customWidth="1"/>
    <col min="19" max="19" width="18.6640625" style="1" bestFit="1" customWidth="1"/>
    <col min="20" max="20" width="15.83203125" style="1" bestFit="1" customWidth="1"/>
    <col min="21" max="21" width="14.33203125" style="1" bestFit="1" customWidth="1"/>
    <col min="22" max="22" width="16.33203125" style="1" bestFit="1" customWidth="1"/>
    <col min="23" max="23" width="10.1640625" style="1" bestFit="1" customWidth="1"/>
    <col min="24" max="24" width="10.83203125" style="1" bestFit="1" customWidth="1"/>
    <col min="25" max="26" width="10.1640625" style="1" bestFit="1" customWidth="1"/>
    <col min="27" max="27" width="13" style="1" customWidth="1"/>
    <col min="28" max="29" width="10" style="1"/>
    <col min="30" max="30" width="10.1640625" style="1" bestFit="1" customWidth="1"/>
    <col min="31" max="16384" width="10" style="1"/>
  </cols>
  <sheetData>
    <row r="1" spans="1:16" x14ac:dyDescent="0.25">
      <c r="A1" s="21" t="s">
        <v>137</v>
      </c>
      <c r="B1" s="21"/>
      <c r="C1" s="21"/>
      <c r="D1" s="22"/>
      <c r="P1" s="20"/>
    </row>
    <row r="2" spans="1:16" x14ac:dyDescent="0.25">
      <c r="A2" s="21" t="s">
        <v>123</v>
      </c>
      <c r="B2" s="21"/>
      <c r="C2" s="21"/>
      <c r="D2" s="22"/>
    </row>
    <row r="3" spans="1:16" x14ac:dyDescent="0.25">
      <c r="A3" s="21"/>
      <c r="B3" s="21"/>
      <c r="C3" s="21"/>
      <c r="D3" s="22"/>
    </row>
    <row r="4" spans="1:16" x14ac:dyDescent="0.25">
      <c r="A4" s="9" t="s">
        <v>36</v>
      </c>
      <c r="B4" s="9"/>
      <c r="C4" s="9"/>
      <c r="D4" s="25"/>
    </row>
    <row r="5" spans="1:16" x14ac:dyDescent="0.25">
      <c r="A5" s="9"/>
      <c r="B5" s="9"/>
      <c r="C5" s="9"/>
      <c r="D5" s="25"/>
    </row>
    <row r="6" spans="1:16" x14ac:dyDescent="0.25">
      <c r="A6" s="23" t="s">
        <v>38</v>
      </c>
      <c r="B6" s="799" t="s">
        <v>574</v>
      </c>
    </row>
    <row r="7" spans="1:16" x14ac:dyDescent="0.25">
      <c r="A7" s="9"/>
      <c r="B7" s="9"/>
      <c r="C7" s="9"/>
    </row>
    <row r="8" spans="1:16" x14ac:dyDescent="0.25">
      <c r="A8" s="23" t="s">
        <v>62</v>
      </c>
      <c r="B8" s="24" t="s">
        <v>422</v>
      </c>
    </row>
    <row r="9" spans="1:16" x14ac:dyDescent="0.25">
      <c r="A9" s="23"/>
      <c r="B9" s="24"/>
    </row>
    <row r="10" spans="1:16" x14ac:dyDescent="0.25">
      <c r="A10" s="23" t="s">
        <v>114</v>
      </c>
      <c r="B10" s="9"/>
      <c r="C10" s="841">
        <v>2.8155000000000001</v>
      </c>
    </row>
    <row r="11" spans="1:16" x14ac:dyDescent="0.25">
      <c r="A11" s="23" t="s">
        <v>174</v>
      </c>
      <c r="B11" s="9"/>
      <c r="C11" s="842">
        <f>SUM(C12:C13)</f>
        <v>2.2090999999999998</v>
      </c>
      <c r="P11" s="16"/>
    </row>
    <row r="12" spans="1:16" x14ac:dyDescent="0.25">
      <c r="A12" s="23" t="s">
        <v>175</v>
      </c>
      <c r="B12" s="9"/>
      <c r="C12" s="843">
        <f>0.9137-0.016</f>
        <v>0.89769999999999994</v>
      </c>
      <c r="D12" s="14" t="s">
        <v>407</v>
      </c>
      <c r="P12" s="16"/>
    </row>
    <row r="13" spans="1:16" x14ac:dyDescent="0.25">
      <c r="A13" s="23" t="s">
        <v>176</v>
      </c>
      <c r="B13" s="9"/>
      <c r="C13" s="841">
        <v>1.3113999999999999</v>
      </c>
      <c r="P13" s="16"/>
    </row>
    <row r="14" spans="1:16" x14ac:dyDescent="0.25">
      <c r="A14" s="23" t="s">
        <v>177</v>
      </c>
      <c r="B14" s="9"/>
      <c r="C14" s="24" t="s">
        <v>406</v>
      </c>
      <c r="P14" s="16"/>
    </row>
    <row r="15" spans="1:16" x14ac:dyDescent="0.25">
      <c r="A15" s="9"/>
      <c r="B15" s="9"/>
      <c r="C15" s="9"/>
      <c r="D15" s="25"/>
      <c r="E15" s="9"/>
      <c r="F15" s="9"/>
      <c r="G15" s="9"/>
    </row>
    <row r="16" spans="1:16" x14ac:dyDescent="0.25">
      <c r="A16" s="23" t="s">
        <v>124</v>
      </c>
      <c r="B16" s="9"/>
      <c r="C16" s="9"/>
      <c r="D16" s="25"/>
      <c r="E16" s="9"/>
      <c r="F16" s="9"/>
      <c r="G16" s="9"/>
      <c r="O16" s="26"/>
    </row>
    <row r="17" spans="1:30" x14ac:dyDescent="0.25">
      <c r="A17" s="9"/>
      <c r="B17" s="9"/>
      <c r="C17" s="975" t="s">
        <v>134</v>
      </c>
      <c r="D17" s="975"/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26"/>
      <c r="P17" s="976" t="s">
        <v>135</v>
      </c>
      <c r="Q17" s="976"/>
      <c r="R17" s="976"/>
      <c r="S17" s="976"/>
      <c r="T17" s="976"/>
      <c r="U17" s="976"/>
      <c r="V17" s="976"/>
      <c r="W17" s="976"/>
      <c r="X17" s="976"/>
      <c r="Y17" s="976"/>
      <c r="Z17" s="976"/>
      <c r="AA17" s="976"/>
    </row>
    <row r="18" spans="1:30" x14ac:dyDescent="0.25">
      <c r="A18" s="3" t="s">
        <v>126</v>
      </c>
      <c r="B18" s="3" t="s">
        <v>127</v>
      </c>
      <c r="C18" s="3" t="s">
        <v>128</v>
      </c>
      <c r="D18" s="4" t="s">
        <v>129</v>
      </c>
      <c r="E18" s="3" t="s">
        <v>130</v>
      </c>
      <c r="F18" s="3" t="s">
        <v>131</v>
      </c>
      <c r="G18" s="3" t="s">
        <v>132</v>
      </c>
      <c r="H18" s="5" t="s">
        <v>133</v>
      </c>
      <c r="I18" s="5" t="s">
        <v>158</v>
      </c>
      <c r="J18" s="3" t="s">
        <v>193</v>
      </c>
      <c r="K18" s="3" t="s">
        <v>192</v>
      </c>
      <c r="L18" s="5" t="s">
        <v>141</v>
      </c>
      <c r="M18" s="5" t="s">
        <v>142</v>
      </c>
      <c r="N18" s="5" t="s">
        <v>178</v>
      </c>
      <c r="O18" s="6"/>
      <c r="P18" s="3" t="s">
        <v>128</v>
      </c>
      <c r="Q18" s="3" t="s">
        <v>129</v>
      </c>
      <c r="R18" s="3" t="s">
        <v>130</v>
      </c>
      <c r="S18" s="3" t="s">
        <v>131</v>
      </c>
      <c r="T18" s="3" t="s">
        <v>132</v>
      </c>
      <c r="U18" s="5" t="s">
        <v>133</v>
      </c>
      <c r="V18" s="5" t="s">
        <v>157</v>
      </c>
      <c r="W18" s="3" t="s">
        <v>193</v>
      </c>
      <c r="X18" s="3" t="s">
        <v>192</v>
      </c>
      <c r="Y18" s="5" t="s">
        <v>141</v>
      </c>
      <c r="Z18" s="5" t="s">
        <v>142</v>
      </c>
      <c r="AA18" s="5" t="s">
        <v>178</v>
      </c>
    </row>
    <row r="19" spans="1:30" x14ac:dyDescent="0.25">
      <c r="A19" s="7" t="s">
        <v>75</v>
      </c>
      <c r="B19" s="7" t="s">
        <v>76</v>
      </c>
      <c r="C19" s="27">
        <v>2.2665999999999999</v>
      </c>
      <c r="D19" s="18"/>
      <c r="E19" s="18"/>
      <c r="F19" s="18"/>
      <c r="G19" s="18"/>
      <c r="H19" s="28">
        <v>15</v>
      </c>
      <c r="I19" s="29"/>
      <c r="J19" s="28">
        <v>2.25</v>
      </c>
      <c r="K19" s="28">
        <f>0.61+0.03+0.12+-0.07</f>
        <v>0.69</v>
      </c>
      <c r="L19" s="30">
        <v>5.9700000000000003E-2</v>
      </c>
      <c r="M19" s="30">
        <v>1.3899999999999999E-2</v>
      </c>
      <c r="N19" s="30">
        <v>1.6E-2</v>
      </c>
      <c r="O19" s="21"/>
      <c r="P19" s="31">
        <f>'Rate Design MPB-1'!F191</f>
        <v>3.5926999999999998</v>
      </c>
      <c r="Q19" s="31"/>
      <c r="R19" s="8"/>
      <c r="S19" s="8"/>
      <c r="T19" s="8"/>
      <c r="U19" s="154">
        <f>'Rate Design MPB-1'!F187</f>
        <v>16</v>
      </c>
      <c r="V19" s="15"/>
      <c r="W19" s="28">
        <v>0</v>
      </c>
      <c r="X19" s="31">
        <f>K19</f>
        <v>0.69</v>
      </c>
      <c r="Y19" s="31">
        <f>L19</f>
        <v>5.9700000000000003E-2</v>
      </c>
      <c r="Z19" s="31">
        <f>M19</f>
        <v>1.3899999999999999E-2</v>
      </c>
      <c r="AA19" s="34">
        <v>2.5999999999999999E-2</v>
      </c>
      <c r="AB19" s="16"/>
      <c r="AC19" s="16"/>
      <c r="AD19" s="16"/>
    </row>
    <row r="20" spans="1:30" x14ac:dyDescent="0.25">
      <c r="A20" s="7" t="s">
        <v>77</v>
      </c>
      <c r="B20" s="7" t="s">
        <v>78</v>
      </c>
      <c r="C20" s="27">
        <v>2.1558000000000002</v>
      </c>
      <c r="D20" s="27"/>
      <c r="E20" s="32"/>
      <c r="F20" s="32"/>
      <c r="G20" s="32"/>
      <c r="H20" s="28">
        <v>56.92</v>
      </c>
      <c r="I20" s="29"/>
      <c r="J20" s="28"/>
      <c r="K20" s="28"/>
      <c r="L20" s="28"/>
      <c r="M20" s="29"/>
      <c r="N20" s="28"/>
      <c r="O20" s="21"/>
      <c r="P20" s="31">
        <f t="shared" ref="P20:P29" si="0">C20</f>
        <v>2.1558000000000002</v>
      </c>
      <c r="Q20" s="8"/>
      <c r="R20" s="8"/>
      <c r="S20" s="8"/>
      <c r="T20" s="8"/>
      <c r="U20" s="15">
        <f t="shared" ref="U20:U29" si="1">H20</f>
        <v>56.92</v>
      </c>
      <c r="V20" s="15"/>
      <c r="W20" s="29"/>
      <c r="Y20" s="29"/>
      <c r="Z20" s="29"/>
      <c r="AA20" s="158"/>
      <c r="AB20" s="16"/>
      <c r="AC20" s="16"/>
      <c r="AD20" s="16"/>
    </row>
    <row r="21" spans="1:30" x14ac:dyDescent="0.25">
      <c r="A21" s="7" t="s">
        <v>79</v>
      </c>
      <c r="B21" s="7" t="s">
        <v>80</v>
      </c>
      <c r="C21" s="27">
        <v>2.96</v>
      </c>
      <c r="D21" s="27"/>
      <c r="E21" s="27"/>
      <c r="F21" s="27"/>
      <c r="G21" s="27"/>
      <c r="H21" s="28">
        <v>17.27</v>
      </c>
      <c r="I21" s="29"/>
      <c r="J21" s="28"/>
      <c r="K21" s="28"/>
      <c r="L21" s="28"/>
      <c r="M21" s="29"/>
      <c r="N21" s="28"/>
      <c r="O21" s="21"/>
      <c r="P21" s="31">
        <f t="shared" si="0"/>
        <v>2.96</v>
      </c>
      <c r="Q21" s="8"/>
      <c r="R21" s="8"/>
      <c r="S21" s="8"/>
      <c r="T21" s="8"/>
      <c r="U21" s="15">
        <f t="shared" si="1"/>
        <v>17.27</v>
      </c>
      <c r="V21" s="15"/>
      <c r="W21" s="29"/>
      <c r="Y21" s="29"/>
      <c r="Z21" s="29"/>
      <c r="AA21" s="158"/>
      <c r="AB21" s="16"/>
      <c r="AC21" s="16"/>
      <c r="AD21" s="16"/>
    </row>
    <row r="22" spans="1:30" x14ac:dyDescent="0.25">
      <c r="A22" s="7" t="s">
        <v>81</v>
      </c>
      <c r="B22" s="7" t="s">
        <v>82</v>
      </c>
      <c r="C22" s="27">
        <v>0.4</v>
      </c>
      <c r="D22" s="27"/>
      <c r="E22" s="27"/>
      <c r="F22" s="27"/>
      <c r="G22" s="27"/>
      <c r="H22" s="28">
        <v>0</v>
      </c>
      <c r="I22" s="28"/>
      <c r="J22" s="28"/>
      <c r="K22" s="30"/>
      <c r="L22" s="28"/>
      <c r="M22" s="34">
        <f>$M$19</f>
        <v>1.3899999999999999E-2</v>
      </c>
      <c r="N22" s="30"/>
      <c r="O22" s="21"/>
      <c r="P22" s="31">
        <f t="shared" si="0"/>
        <v>0.4</v>
      </c>
      <c r="Q22" s="8"/>
      <c r="R22" s="8"/>
      <c r="S22" s="8"/>
      <c r="T22" s="8"/>
      <c r="U22" s="15">
        <f t="shared" si="1"/>
        <v>0</v>
      </c>
      <c r="V22" s="15"/>
      <c r="W22" s="29"/>
      <c r="Y22" s="29"/>
      <c r="Z22" s="31">
        <f>M22</f>
        <v>1.3899999999999999E-2</v>
      </c>
      <c r="AA22" s="158"/>
      <c r="AB22" s="16"/>
      <c r="AC22" s="16"/>
      <c r="AD22" s="16"/>
    </row>
    <row r="23" spans="1:30" x14ac:dyDescent="0.25">
      <c r="A23" s="7" t="s">
        <v>81</v>
      </c>
      <c r="B23" s="7" t="s">
        <v>83</v>
      </c>
      <c r="C23" s="27">
        <v>0.4</v>
      </c>
      <c r="D23" s="27"/>
      <c r="E23" s="27"/>
      <c r="F23" s="27"/>
      <c r="G23" s="27"/>
      <c r="H23" s="28">
        <v>0</v>
      </c>
      <c r="I23" s="28"/>
      <c r="J23" s="28"/>
      <c r="K23" s="30"/>
      <c r="L23" s="28"/>
      <c r="M23" s="34">
        <f>$M$19</f>
        <v>1.3899999999999999E-2</v>
      </c>
      <c r="N23" s="30"/>
      <c r="O23" s="21"/>
      <c r="P23" s="31">
        <f t="shared" si="0"/>
        <v>0.4</v>
      </c>
      <c r="Q23" s="8"/>
      <c r="R23" s="8"/>
      <c r="S23" s="8"/>
      <c r="T23" s="8"/>
      <c r="U23" s="15">
        <f t="shared" si="1"/>
        <v>0</v>
      </c>
      <c r="V23" s="15"/>
      <c r="W23" s="29"/>
      <c r="Y23" s="29"/>
      <c r="Z23" s="31">
        <f>M23</f>
        <v>1.3899999999999999E-2</v>
      </c>
      <c r="AA23" s="158"/>
      <c r="AB23" s="16"/>
      <c r="AC23" s="16"/>
      <c r="AD23" s="16"/>
    </row>
    <row r="24" spans="1:30" x14ac:dyDescent="0.25">
      <c r="A24" s="7" t="s">
        <v>84</v>
      </c>
      <c r="B24" s="7" t="s">
        <v>82</v>
      </c>
      <c r="C24" s="27">
        <v>0.55000000000000004</v>
      </c>
      <c r="D24" s="27"/>
      <c r="E24" s="27"/>
      <c r="F24" s="27"/>
      <c r="G24" s="27"/>
      <c r="H24" s="28">
        <v>0</v>
      </c>
      <c r="I24" s="28"/>
      <c r="J24" s="28"/>
      <c r="K24" s="30"/>
      <c r="L24" s="28"/>
      <c r="M24" s="34">
        <f>$M$19</f>
        <v>1.3899999999999999E-2</v>
      </c>
      <c r="N24" s="30"/>
      <c r="O24" s="21"/>
      <c r="P24" s="31">
        <f t="shared" si="0"/>
        <v>0.55000000000000004</v>
      </c>
      <c r="Q24" s="8"/>
      <c r="R24" s="8"/>
      <c r="S24" s="8"/>
      <c r="T24" s="8"/>
      <c r="U24" s="15">
        <f t="shared" si="1"/>
        <v>0</v>
      </c>
      <c r="V24" s="15"/>
      <c r="W24" s="29"/>
      <c r="Y24" s="29"/>
      <c r="Z24" s="31">
        <f>M24</f>
        <v>1.3899999999999999E-2</v>
      </c>
      <c r="AA24" s="158"/>
      <c r="AC24" s="16"/>
      <c r="AD24" s="16"/>
    </row>
    <row r="25" spans="1:30" x14ac:dyDescent="0.25">
      <c r="A25" s="7" t="s">
        <v>85</v>
      </c>
      <c r="B25" s="7" t="s">
        <v>82</v>
      </c>
      <c r="C25" s="27">
        <v>0.6</v>
      </c>
      <c r="D25" s="27"/>
      <c r="E25" s="27"/>
      <c r="F25" s="27"/>
      <c r="G25" s="27"/>
      <c r="H25" s="28">
        <v>0</v>
      </c>
      <c r="I25" s="28"/>
      <c r="J25" s="28"/>
      <c r="K25" s="30"/>
      <c r="L25" s="28"/>
      <c r="M25" s="34">
        <f>$M$19</f>
        <v>1.3899999999999999E-2</v>
      </c>
      <c r="N25" s="30"/>
      <c r="O25" s="21"/>
      <c r="P25" s="31">
        <f t="shared" si="0"/>
        <v>0.6</v>
      </c>
      <c r="Q25" s="8"/>
      <c r="R25" s="8"/>
      <c r="S25" s="8"/>
      <c r="T25" s="8"/>
      <c r="U25" s="15">
        <f t="shared" si="1"/>
        <v>0</v>
      </c>
      <c r="V25" s="15"/>
      <c r="W25" s="29"/>
      <c r="Y25" s="29"/>
      <c r="Z25" s="31">
        <f>M25</f>
        <v>1.3899999999999999E-2</v>
      </c>
      <c r="AA25" s="158"/>
      <c r="AC25" s="16"/>
      <c r="AD25" s="16"/>
    </row>
    <row r="26" spans="1:30" x14ac:dyDescent="0.25">
      <c r="A26" s="7" t="s">
        <v>86</v>
      </c>
      <c r="B26" s="7" t="s">
        <v>87</v>
      </c>
      <c r="C26" s="27">
        <v>0.35</v>
      </c>
      <c r="D26" s="27"/>
      <c r="E26" s="27"/>
      <c r="F26" s="27"/>
      <c r="G26" s="27"/>
      <c r="H26" s="28">
        <v>0</v>
      </c>
      <c r="I26" s="28"/>
      <c r="J26" s="28"/>
      <c r="K26" s="28"/>
      <c r="L26" s="28"/>
      <c r="M26" s="28"/>
      <c r="N26" s="28"/>
      <c r="O26" s="21"/>
      <c r="P26" s="31">
        <f t="shared" si="0"/>
        <v>0.35</v>
      </c>
      <c r="Q26" s="8"/>
      <c r="R26" s="8"/>
      <c r="S26" s="8"/>
      <c r="T26" s="8"/>
      <c r="U26" s="15">
        <f t="shared" si="1"/>
        <v>0</v>
      </c>
      <c r="V26" s="15"/>
      <c r="W26" s="28"/>
      <c r="Y26" s="29"/>
      <c r="Z26" s="29"/>
      <c r="AA26" s="158"/>
      <c r="AC26" s="16"/>
      <c r="AD26" s="16"/>
    </row>
    <row r="27" spans="1:30" x14ac:dyDescent="0.25">
      <c r="A27" s="7" t="s">
        <v>86</v>
      </c>
      <c r="B27" s="7" t="s">
        <v>78</v>
      </c>
      <c r="C27" s="27">
        <v>0.35</v>
      </c>
      <c r="D27" s="27"/>
      <c r="E27" s="27"/>
      <c r="F27" s="27"/>
      <c r="G27" s="27"/>
      <c r="H27" s="28">
        <v>0</v>
      </c>
      <c r="I27" s="28"/>
      <c r="J27" s="28"/>
      <c r="K27" s="28"/>
      <c r="L27" s="28"/>
      <c r="M27" s="28"/>
      <c r="N27" s="28"/>
      <c r="O27" s="21"/>
      <c r="P27" s="31">
        <f t="shared" si="0"/>
        <v>0.35</v>
      </c>
      <c r="Q27" s="8"/>
      <c r="R27" s="8"/>
      <c r="S27" s="8"/>
      <c r="T27" s="8"/>
      <c r="U27" s="15">
        <f t="shared" si="1"/>
        <v>0</v>
      </c>
      <c r="V27" s="15"/>
      <c r="W27" s="28"/>
      <c r="Y27" s="29"/>
      <c r="Z27" s="29"/>
      <c r="AA27" s="158"/>
      <c r="AC27" s="16"/>
      <c r="AD27" s="16"/>
    </row>
    <row r="28" spans="1:30" x14ac:dyDescent="0.25">
      <c r="A28" s="7" t="s">
        <v>88</v>
      </c>
      <c r="B28" s="7" t="s">
        <v>80</v>
      </c>
      <c r="C28" s="27">
        <v>0</v>
      </c>
      <c r="D28" s="27">
        <v>0.35</v>
      </c>
      <c r="E28" s="32"/>
      <c r="F28" s="32"/>
      <c r="G28" s="32"/>
      <c r="H28" s="28">
        <v>1.2</v>
      </c>
      <c r="I28" s="28"/>
      <c r="J28" s="28"/>
      <c r="K28" s="28"/>
      <c r="L28" s="28"/>
      <c r="M28" s="28"/>
      <c r="N28" s="28"/>
      <c r="O28" s="21"/>
      <c r="P28" s="31">
        <f t="shared" si="0"/>
        <v>0</v>
      </c>
      <c r="Q28" s="31">
        <f>D28</f>
        <v>0.35</v>
      </c>
      <c r="R28" s="8"/>
      <c r="S28" s="8"/>
      <c r="T28" s="8"/>
      <c r="U28" s="15">
        <f t="shared" si="1"/>
        <v>1.2</v>
      </c>
      <c r="V28" s="15"/>
      <c r="W28" s="28"/>
      <c r="Y28" s="29"/>
      <c r="Z28" s="29"/>
      <c r="AA28" s="158"/>
      <c r="AB28" s="16"/>
      <c r="AC28" s="16"/>
      <c r="AD28" s="16"/>
    </row>
    <row r="29" spans="1:30" x14ac:dyDescent="0.25">
      <c r="A29" s="7" t="s">
        <v>89</v>
      </c>
      <c r="B29" s="7" t="s">
        <v>80</v>
      </c>
      <c r="C29" s="27">
        <v>0.4</v>
      </c>
      <c r="D29" s="27"/>
      <c r="E29" s="27"/>
      <c r="F29" s="27"/>
      <c r="G29" s="27"/>
      <c r="H29" s="28">
        <v>0</v>
      </c>
      <c r="I29" s="28"/>
      <c r="J29" s="28"/>
      <c r="K29" s="28"/>
      <c r="L29" s="28"/>
      <c r="M29" s="28"/>
      <c r="N29" s="28"/>
      <c r="O29" s="21"/>
      <c r="P29" s="31">
        <f t="shared" si="0"/>
        <v>0.4</v>
      </c>
      <c r="Q29" s="8"/>
      <c r="R29" s="8"/>
      <c r="S29" s="8"/>
      <c r="T29" s="8"/>
      <c r="U29" s="15">
        <f t="shared" si="1"/>
        <v>0</v>
      </c>
      <c r="V29" s="15"/>
      <c r="W29" s="28"/>
      <c r="Y29" s="29"/>
      <c r="Z29" s="29"/>
      <c r="AA29" s="158"/>
      <c r="AB29" s="16"/>
      <c r="AC29" s="16"/>
      <c r="AD29" s="16"/>
    </row>
    <row r="30" spans="1:30" x14ac:dyDescent="0.25">
      <c r="A30" s="7" t="s">
        <v>74</v>
      </c>
      <c r="B30" s="7" t="s">
        <v>90</v>
      </c>
      <c r="C30" s="27">
        <v>2.2665999999999999</v>
      </c>
      <c r="D30" s="27">
        <v>1.752</v>
      </c>
      <c r="E30" s="27">
        <v>1.6658999999999999</v>
      </c>
      <c r="F30" s="27">
        <v>1.5164</v>
      </c>
      <c r="G30" s="27"/>
      <c r="H30" s="28">
        <v>37.5</v>
      </c>
      <c r="I30" s="28"/>
      <c r="J30" s="28">
        <v>8.02</v>
      </c>
      <c r="K30" s="30"/>
      <c r="L30" s="9"/>
      <c r="M30" s="34">
        <f>$M$19</f>
        <v>1.3899999999999999E-2</v>
      </c>
      <c r="N30" s="34">
        <f>$N$19</f>
        <v>1.6E-2</v>
      </c>
      <c r="O30" s="21"/>
      <c r="P30" s="31">
        <f>'Rate Design MPB-1'!F215</f>
        <v>3.0331999999999999</v>
      </c>
      <c r="Q30" s="31">
        <f>'Rate Design MPB-1'!F216</f>
        <v>2.3445999999999998</v>
      </c>
      <c r="R30" s="31">
        <f>'Rate Design MPB-1'!F217</f>
        <v>2.2294</v>
      </c>
      <c r="S30" s="31">
        <f>'Rate Design MPB-1'!F218</f>
        <v>2.0294000000000003</v>
      </c>
      <c r="T30" s="31"/>
      <c r="U30" s="154">
        <f>'Rate Design MPB-1'!F210</f>
        <v>44.69</v>
      </c>
      <c r="V30" s="15"/>
      <c r="W30" s="28">
        <v>0</v>
      </c>
      <c r="X30" s="31"/>
      <c r="Z30" s="31">
        <f>M30</f>
        <v>1.3899999999999999E-2</v>
      </c>
      <c r="AA30" s="34">
        <f>AA19</f>
        <v>2.5999999999999999E-2</v>
      </c>
      <c r="AB30" s="16"/>
      <c r="AC30" s="16"/>
      <c r="AD30" s="16"/>
    </row>
    <row r="31" spans="1:30" x14ac:dyDescent="0.25">
      <c r="A31" s="7" t="s">
        <v>74</v>
      </c>
      <c r="B31" s="7" t="s">
        <v>91</v>
      </c>
      <c r="C31" s="25">
        <f>C30</f>
        <v>2.2665999999999999</v>
      </c>
      <c r="D31" s="25">
        <f t="shared" ref="D31:F31" si="2">D30</f>
        <v>1.752</v>
      </c>
      <c r="E31" s="25">
        <f t="shared" si="2"/>
        <v>1.6658999999999999</v>
      </c>
      <c r="F31" s="25">
        <f t="shared" si="2"/>
        <v>1.5164</v>
      </c>
      <c r="G31" s="27"/>
      <c r="H31" s="33">
        <f>H30</f>
        <v>37.5</v>
      </c>
      <c r="I31" s="28"/>
      <c r="J31" s="28">
        <v>8.02</v>
      </c>
      <c r="K31" s="30"/>
      <c r="L31" s="9"/>
      <c r="M31" s="34">
        <f>$M$19</f>
        <v>1.3899999999999999E-2</v>
      </c>
      <c r="N31" s="34">
        <f>$N$19</f>
        <v>1.6E-2</v>
      </c>
      <c r="O31" s="21"/>
      <c r="P31" s="31">
        <f>'Rate Design MPB-1'!F215</f>
        <v>3.0331999999999999</v>
      </c>
      <c r="Q31" s="31">
        <f>'Rate Design MPB-1'!F216</f>
        <v>2.3445999999999998</v>
      </c>
      <c r="R31" s="31">
        <f>'Rate Design MPB-1'!F217</f>
        <v>2.2294</v>
      </c>
      <c r="S31" s="31">
        <f>'Rate Design MPB-1'!F218</f>
        <v>2.0294000000000003</v>
      </c>
      <c r="T31" s="31"/>
      <c r="U31" s="154">
        <f>'Rate Design MPB-1'!F210</f>
        <v>44.69</v>
      </c>
      <c r="V31" s="15"/>
      <c r="W31" s="28">
        <v>0</v>
      </c>
      <c r="X31" s="31"/>
      <c r="Z31" s="31">
        <f>M31</f>
        <v>1.3899999999999999E-2</v>
      </c>
      <c r="AA31" s="34">
        <f>AA19</f>
        <v>2.5999999999999999E-2</v>
      </c>
      <c r="AB31" s="16"/>
      <c r="AC31" s="16"/>
      <c r="AD31" s="16"/>
    </row>
    <row r="32" spans="1:30" x14ac:dyDescent="0.25">
      <c r="A32" s="7" t="s">
        <v>294</v>
      </c>
      <c r="B32" s="7" t="s">
        <v>295</v>
      </c>
      <c r="C32" s="27">
        <v>0</v>
      </c>
      <c r="D32" s="27"/>
      <c r="E32" s="27"/>
      <c r="F32" s="27"/>
      <c r="G32" s="27"/>
      <c r="H32" s="28">
        <v>0</v>
      </c>
      <c r="I32" s="28"/>
      <c r="J32" s="28"/>
      <c r="K32" s="30"/>
      <c r="L32" s="9"/>
      <c r="M32" s="30"/>
      <c r="N32" s="30"/>
      <c r="O32" s="21"/>
      <c r="P32" s="31">
        <v>0</v>
      </c>
      <c r="Q32" s="31"/>
      <c r="R32" s="31"/>
      <c r="S32" s="31"/>
      <c r="T32" s="31"/>
      <c r="U32" s="33">
        <v>0</v>
      </c>
      <c r="V32" s="15"/>
      <c r="W32" s="28"/>
      <c r="X32" s="31"/>
      <c r="Z32" s="31"/>
      <c r="AA32" s="157"/>
      <c r="AB32" s="16"/>
      <c r="AC32" s="16"/>
      <c r="AD32" s="16"/>
    </row>
    <row r="33" spans="1:30" x14ac:dyDescent="0.25">
      <c r="A33" s="7" t="s">
        <v>294</v>
      </c>
      <c r="B33" s="7" t="s">
        <v>296</v>
      </c>
      <c r="C33" s="27">
        <v>0</v>
      </c>
      <c r="D33" s="27"/>
      <c r="E33" s="27"/>
      <c r="F33" s="27"/>
      <c r="G33" s="27"/>
      <c r="H33" s="28">
        <v>0</v>
      </c>
      <c r="I33" s="28"/>
      <c r="J33" s="28"/>
      <c r="K33" s="30"/>
      <c r="L33" s="9"/>
      <c r="M33" s="30"/>
      <c r="N33" s="30"/>
      <c r="O33" s="21"/>
      <c r="P33" s="31">
        <v>0</v>
      </c>
      <c r="Q33" s="31"/>
      <c r="R33" s="31"/>
      <c r="S33" s="31"/>
      <c r="T33" s="31"/>
      <c r="U33" s="33">
        <v>0</v>
      </c>
      <c r="V33" s="15"/>
      <c r="W33" s="28"/>
      <c r="X33" s="31"/>
      <c r="Z33" s="31"/>
      <c r="AA33" s="157"/>
      <c r="AB33" s="16"/>
      <c r="AC33" s="16"/>
      <c r="AD33" s="16"/>
    </row>
    <row r="34" spans="1:30" x14ac:dyDescent="0.25">
      <c r="A34" s="7" t="s">
        <v>297</v>
      </c>
      <c r="B34" s="7" t="s">
        <v>298</v>
      </c>
      <c r="C34" s="27">
        <v>0</v>
      </c>
      <c r="D34" s="27"/>
      <c r="E34" s="27"/>
      <c r="F34" s="27"/>
      <c r="G34" s="27"/>
      <c r="H34" s="28">
        <v>0</v>
      </c>
      <c r="I34" s="28"/>
      <c r="J34" s="28"/>
      <c r="K34" s="30"/>
      <c r="L34" s="9"/>
      <c r="M34" s="30"/>
      <c r="N34" s="30"/>
      <c r="O34" s="21"/>
      <c r="P34" s="31">
        <v>0</v>
      </c>
      <c r="Q34" s="31"/>
      <c r="R34" s="31"/>
      <c r="S34" s="31"/>
      <c r="T34" s="31"/>
      <c r="U34" s="33">
        <v>0</v>
      </c>
      <c r="V34" s="15"/>
      <c r="W34" s="28"/>
      <c r="X34" s="31"/>
      <c r="Z34" s="31"/>
      <c r="AA34" s="157"/>
      <c r="AB34" s="16"/>
      <c r="AC34" s="16"/>
      <c r="AD34" s="16"/>
    </row>
    <row r="35" spans="1:30" x14ac:dyDescent="0.25">
      <c r="A35" s="7" t="s">
        <v>297</v>
      </c>
      <c r="B35" s="7" t="s">
        <v>299</v>
      </c>
      <c r="C35" s="27">
        <v>0</v>
      </c>
      <c r="D35" s="27"/>
      <c r="E35" s="27"/>
      <c r="F35" s="27"/>
      <c r="G35" s="27"/>
      <c r="H35" s="28">
        <v>0</v>
      </c>
      <c r="I35" s="28"/>
      <c r="J35" s="28"/>
      <c r="K35" s="30"/>
      <c r="L35" s="9"/>
      <c r="M35" s="30"/>
      <c r="N35" s="30"/>
      <c r="O35" s="21"/>
      <c r="P35" s="31">
        <v>0</v>
      </c>
      <c r="Q35" s="31"/>
      <c r="R35" s="31"/>
      <c r="S35" s="31"/>
      <c r="T35" s="31"/>
      <c r="U35" s="33">
        <v>0</v>
      </c>
      <c r="V35" s="15"/>
      <c r="W35" s="28"/>
      <c r="X35" s="31"/>
      <c r="Z35" s="31"/>
      <c r="AA35" s="157"/>
      <c r="AB35" s="16"/>
      <c r="AC35" s="16"/>
      <c r="AD35" s="16"/>
    </row>
    <row r="36" spans="1:30" x14ac:dyDescent="0.25">
      <c r="A36" s="7" t="s">
        <v>282</v>
      </c>
      <c r="B36" s="7" t="s">
        <v>291</v>
      </c>
      <c r="C36" s="27">
        <v>0.54430000000000001</v>
      </c>
      <c r="D36" s="27">
        <v>0.28899999999999998</v>
      </c>
      <c r="E36" s="27">
        <v>0.28899999999999998</v>
      </c>
      <c r="F36" s="27"/>
      <c r="G36" s="27"/>
      <c r="H36" s="28">
        <v>1007.05</v>
      </c>
      <c r="I36" s="28"/>
      <c r="J36" s="28">
        <v>449.59</v>
      </c>
      <c r="K36" s="30"/>
      <c r="L36" s="9"/>
      <c r="M36" s="34">
        <f>$M$19</f>
        <v>1.3899999999999999E-2</v>
      </c>
      <c r="N36" s="34">
        <f>$N$19</f>
        <v>1.6E-2</v>
      </c>
      <c r="O36" s="21"/>
      <c r="P36" s="31">
        <f>'Rate Design MPB-1'!F244</f>
        <v>0.6321</v>
      </c>
      <c r="Q36" s="31">
        <f>'Rate Design MPB-1'!F245</f>
        <v>0.37730000000000002</v>
      </c>
      <c r="R36" s="31">
        <f>'Rate Design MPB-1'!F246</f>
        <v>0.32829999999999998</v>
      </c>
      <c r="S36" s="31"/>
      <c r="T36" s="31"/>
      <c r="U36" s="154">
        <f>'Rate Design MPB-1'!F239</f>
        <v>2007</v>
      </c>
      <c r="V36" s="33"/>
      <c r="W36" s="28">
        <v>0</v>
      </c>
      <c r="X36" s="31"/>
      <c r="Y36" s="9"/>
      <c r="Z36" s="34"/>
      <c r="AA36" s="34">
        <f>AA19</f>
        <v>2.5999999999999999E-2</v>
      </c>
      <c r="AB36" s="16"/>
      <c r="AC36" s="16"/>
      <c r="AD36" s="16"/>
    </row>
    <row r="37" spans="1:30" x14ac:dyDescent="0.25">
      <c r="A37" s="7" t="s">
        <v>92</v>
      </c>
      <c r="B37" s="7" t="s">
        <v>93</v>
      </c>
      <c r="C37" s="27">
        <v>0.81499999999999995</v>
      </c>
      <c r="D37" s="27"/>
      <c r="E37" s="27"/>
      <c r="F37" s="27"/>
      <c r="G37" s="27"/>
      <c r="H37" s="28">
        <v>477</v>
      </c>
      <c r="I37" s="28"/>
      <c r="J37" s="28">
        <v>76.959999999999994</v>
      </c>
      <c r="K37" s="28"/>
      <c r="L37" s="28"/>
      <c r="M37" s="34">
        <f>$M$19</f>
        <v>1.3899999999999999E-2</v>
      </c>
      <c r="N37" s="34">
        <f>$N$19</f>
        <v>1.6E-2</v>
      </c>
      <c r="O37" s="21"/>
      <c r="P37" s="31">
        <f>'Rate Design MPB-1'!F271</f>
        <v>1.1635</v>
      </c>
      <c r="Q37" s="8"/>
      <c r="R37" s="8"/>
      <c r="S37" s="8"/>
      <c r="T37" s="8"/>
      <c r="U37" s="154">
        <f>'Rate Design MPB-1'!F267</f>
        <v>567.4</v>
      </c>
      <c r="V37" s="15"/>
      <c r="W37" s="28">
        <v>0</v>
      </c>
      <c r="X37" s="31"/>
      <c r="Y37" s="29"/>
      <c r="Z37" s="31">
        <f>M37</f>
        <v>1.3899999999999999E-2</v>
      </c>
      <c r="AA37" s="34">
        <f>AA19</f>
        <v>2.5999999999999999E-2</v>
      </c>
      <c r="AB37" s="16"/>
      <c r="AC37" s="16"/>
      <c r="AD37" s="16"/>
    </row>
    <row r="38" spans="1:30" x14ac:dyDescent="0.25">
      <c r="A38" s="9"/>
      <c r="B38" s="9"/>
      <c r="C38" s="9"/>
      <c r="D38" s="32"/>
      <c r="E38" s="32"/>
      <c r="F38" s="32"/>
      <c r="G38" s="32"/>
      <c r="H38" s="9"/>
      <c r="I38" s="9"/>
      <c r="J38" s="33"/>
      <c r="K38" s="33"/>
      <c r="L38" s="9"/>
      <c r="M38" s="9"/>
      <c r="N38" s="9"/>
      <c r="O38" s="21"/>
      <c r="P38" s="8"/>
      <c r="Q38" s="8"/>
      <c r="R38" s="8"/>
      <c r="S38" s="8"/>
      <c r="T38" s="8"/>
      <c r="U38" s="8"/>
      <c r="V38" s="8"/>
      <c r="W38" s="33"/>
      <c r="AA38" s="158"/>
      <c r="AB38" s="16"/>
      <c r="AC38" s="16"/>
      <c r="AD38" s="16"/>
    </row>
    <row r="39" spans="1:30" x14ac:dyDescent="0.25">
      <c r="A39" s="9"/>
      <c r="B39" s="10" t="s">
        <v>95</v>
      </c>
      <c r="C39" s="9"/>
      <c r="D39" s="25"/>
      <c r="E39" s="9"/>
      <c r="F39" s="9"/>
      <c r="G39" s="9"/>
      <c r="H39" s="9"/>
      <c r="I39" s="9"/>
      <c r="J39" s="33"/>
      <c r="K39" s="33"/>
      <c r="L39" s="9"/>
      <c r="M39" s="9"/>
      <c r="N39" s="9"/>
      <c r="O39" s="21"/>
      <c r="P39" s="8"/>
      <c r="Q39" s="8"/>
      <c r="R39" s="8"/>
      <c r="S39" s="8"/>
      <c r="T39" s="8"/>
      <c r="U39" s="8"/>
      <c r="V39" s="8"/>
      <c r="W39" s="33"/>
      <c r="AA39" s="158"/>
      <c r="AB39" s="16"/>
      <c r="AC39" s="16"/>
      <c r="AD39" s="16"/>
    </row>
    <row r="40" spans="1:30" x14ac:dyDescent="0.25">
      <c r="A40" s="9"/>
      <c r="B40" s="9"/>
      <c r="C40" s="9"/>
      <c r="D40" s="25"/>
      <c r="E40" s="9"/>
      <c r="F40" s="9"/>
      <c r="G40" s="9"/>
      <c r="H40" s="9"/>
      <c r="I40" s="9"/>
      <c r="J40" s="33"/>
      <c r="K40" s="33"/>
      <c r="L40" s="9"/>
      <c r="M40" s="9"/>
      <c r="N40" s="9"/>
      <c r="O40" s="21"/>
      <c r="P40" s="8"/>
      <c r="Q40" s="8"/>
      <c r="R40" s="8"/>
      <c r="S40" s="8"/>
      <c r="T40" s="8"/>
      <c r="U40" s="8"/>
      <c r="V40" s="8"/>
      <c r="W40" s="33"/>
      <c r="AA40" s="158"/>
      <c r="AB40" s="16"/>
      <c r="AC40" s="16"/>
      <c r="AD40" s="16"/>
    </row>
    <row r="41" spans="1:30" x14ac:dyDescent="0.25">
      <c r="A41" s="7" t="s">
        <v>96</v>
      </c>
      <c r="B41" s="7" t="s">
        <v>116</v>
      </c>
      <c r="C41" s="34">
        <f>C19</f>
        <v>2.2665999999999999</v>
      </c>
      <c r="D41" s="27"/>
      <c r="E41" s="7"/>
      <c r="F41" s="7"/>
      <c r="G41" s="7"/>
      <c r="H41" s="33">
        <f>H19</f>
        <v>15</v>
      </c>
      <c r="I41" s="9"/>
      <c r="J41" s="33">
        <f>J19</f>
        <v>2.25</v>
      </c>
      <c r="K41" s="33">
        <f>K19</f>
        <v>0.69</v>
      </c>
      <c r="L41" s="34">
        <f>L19</f>
        <v>5.9700000000000003E-2</v>
      </c>
      <c r="M41" s="34">
        <f>$M$19</f>
        <v>1.3899999999999999E-2</v>
      </c>
      <c r="N41" s="30"/>
      <c r="O41" s="21"/>
      <c r="P41" s="31">
        <f>'Rate Design MPB-1'!F191</f>
        <v>3.5926999999999998</v>
      </c>
      <c r="Q41" s="31"/>
      <c r="R41" s="8"/>
      <c r="S41" s="8"/>
      <c r="T41" s="8"/>
      <c r="U41" s="154">
        <f>'Rate Design MPB-1'!F187</f>
        <v>16</v>
      </c>
      <c r="V41" s="15"/>
      <c r="W41" s="28">
        <v>0</v>
      </c>
      <c r="X41" s="15">
        <f>K41</f>
        <v>0.69</v>
      </c>
      <c r="Y41" s="31">
        <f>L41</f>
        <v>5.9700000000000003E-2</v>
      </c>
      <c r="Z41" s="31">
        <f>M41</f>
        <v>1.3899999999999999E-2</v>
      </c>
      <c r="AA41" s="158"/>
      <c r="AB41" s="16"/>
      <c r="AC41" s="16"/>
      <c r="AD41" s="16"/>
    </row>
    <row r="42" spans="1:30" x14ac:dyDescent="0.25">
      <c r="A42" s="7" t="s">
        <v>97</v>
      </c>
      <c r="B42" s="7" t="s">
        <v>117</v>
      </c>
      <c r="C42" s="34">
        <f>C30</f>
        <v>2.2665999999999999</v>
      </c>
      <c r="D42" s="34">
        <f t="shared" ref="D42:F43" si="3">D30</f>
        <v>1.752</v>
      </c>
      <c r="E42" s="34">
        <f t="shared" si="3"/>
        <v>1.6658999999999999</v>
      </c>
      <c r="F42" s="34">
        <f t="shared" si="3"/>
        <v>1.5164</v>
      </c>
      <c r="G42" s="30"/>
      <c r="H42" s="33">
        <f>H30</f>
        <v>37.5</v>
      </c>
      <c r="I42" s="28"/>
      <c r="J42" s="33">
        <f>J30</f>
        <v>8.02</v>
      </c>
      <c r="K42" s="28"/>
      <c r="L42" s="7"/>
      <c r="M42" s="34">
        <f t="shared" ref="M42:M48" si="4">$M$19</f>
        <v>1.3899999999999999E-2</v>
      </c>
      <c r="N42" s="30"/>
      <c r="O42" s="21"/>
      <c r="P42" s="31">
        <f>'Rate Design MPB-1'!F215</f>
        <v>3.0331999999999999</v>
      </c>
      <c r="Q42" s="31">
        <f>'Rate Design MPB-1'!F216</f>
        <v>2.3445999999999998</v>
      </c>
      <c r="R42" s="31">
        <f>'Rate Design MPB-1'!F217</f>
        <v>2.2294</v>
      </c>
      <c r="S42" s="31">
        <f>'Rate Design MPB-1'!F218</f>
        <v>2.0294000000000003</v>
      </c>
      <c r="T42" s="31"/>
      <c r="U42" s="154">
        <f>'Rate Design MPB-1'!F210</f>
        <v>44.69</v>
      </c>
      <c r="V42" s="15"/>
      <c r="W42" s="28">
        <v>0</v>
      </c>
      <c r="Y42" s="8"/>
      <c r="Z42" s="31">
        <f t="shared" ref="Z42:Z48" si="5">M42</f>
        <v>1.3899999999999999E-2</v>
      </c>
      <c r="AA42" s="158"/>
      <c r="AB42" s="16"/>
      <c r="AC42" s="16"/>
      <c r="AD42" s="16"/>
    </row>
    <row r="43" spans="1:30" ht="13.5" customHeight="1" x14ac:dyDescent="0.25">
      <c r="A43" s="7" t="s">
        <v>97</v>
      </c>
      <c r="B43" s="7" t="s">
        <v>118</v>
      </c>
      <c r="C43" s="34">
        <f>C31</f>
        <v>2.2665999999999999</v>
      </c>
      <c r="D43" s="34">
        <f t="shared" si="3"/>
        <v>1.752</v>
      </c>
      <c r="E43" s="34">
        <f t="shared" si="3"/>
        <v>1.6658999999999999</v>
      </c>
      <c r="F43" s="34">
        <f t="shared" si="3"/>
        <v>1.5164</v>
      </c>
      <c r="G43" s="30"/>
      <c r="H43" s="33">
        <f>H31</f>
        <v>37.5</v>
      </c>
      <c r="I43" s="28"/>
      <c r="J43" s="33">
        <f>J31</f>
        <v>8.02</v>
      </c>
      <c r="K43" s="30"/>
      <c r="L43" s="7"/>
      <c r="M43" s="34">
        <f t="shared" si="4"/>
        <v>1.3899999999999999E-2</v>
      </c>
      <c r="N43" s="30"/>
      <c r="O43" s="21"/>
      <c r="P43" s="31">
        <f>'Rate Design MPB-1'!F215</f>
        <v>3.0331999999999999</v>
      </c>
      <c r="Q43" s="31">
        <f>'Rate Design MPB-1'!F216</f>
        <v>2.3445999999999998</v>
      </c>
      <c r="R43" s="31">
        <f>'Rate Design MPB-1'!F217</f>
        <v>2.2294</v>
      </c>
      <c r="S43" s="31">
        <f>'Rate Design MPB-1'!F218</f>
        <v>2.0294000000000003</v>
      </c>
      <c r="T43" s="31"/>
      <c r="U43" s="154">
        <f>'Rate Design MPB-1'!F210</f>
        <v>44.69</v>
      </c>
      <c r="V43" s="15"/>
      <c r="W43" s="28">
        <v>0</v>
      </c>
      <c r="Y43" s="8"/>
      <c r="Z43" s="31">
        <f t="shared" si="5"/>
        <v>1.3899999999999999E-2</v>
      </c>
      <c r="AA43" s="158"/>
      <c r="AB43" s="16"/>
      <c r="AC43" s="16"/>
      <c r="AD43" s="16"/>
    </row>
    <row r="44" spans="1:30" x14ac:dyDescent="0.25">
      <c r="A44" s="7" t="s">
        <v>161</v>
      </c>
      <c r="B44" s="7" t="s">
        <v>162</v>
      </c>
      <c r="C44" s="30">
        <v>0.54430000000000001</v>
      </c>
      <c r="D44" s="157">
        <v>0.28899999999999998</v>
      </c>
      <c r="E44" s="157">
        <v>0.28899999999999998</v>
      </c>
      <c r="F44" s="7"/>
      <c r="G44" s="7"/>
      <c r="H44" s="28">
        <v>1007.05</v>
      </c>
      <c r="I44" s="28">
        <v>55.9</v>
      </c>
      <c r="J44" s="33">
        <f>J36</f>
        <v>449.59</v>
      </c>
      <c r="K44" s="30"/>
      <c r="L44" s="28"/>
      <c r="M44" s="34">
        <f t="shared" si="4"/>
        <v>1.3899999999999999E-2</v>
      </c>
      <c r="N44" s="30"/>
      <c r="O44" s="21"/>
      <c r="P44" s="31">
        <f>'Rate Design MPB-1'!F244</f>
        <v>0.6321</v>
      </c>
      <c r="Q44" s="31">
        <f>'Rate Design MPB-1'!F245</f>
        <v>0.37730000000000002</v>
      </c>
      <c r="R44" s="31">
        <f>'Rate Design MPB-1'!F246</f>
        <v>0.32829999999999998</v>
      </c>
      <c r="S44" s="8"/>
      <c r="T44" s="8"/>
      <c r="U44" s="154">
        <f>'Rate Design MPB-1'!F239</f>
        <v>2007</v>
      </c>
      <c r="V44" s="33">
        <f>'Rate Design MPB-1'!F240</f>
        <v>0</v>
      </c>
      <c r="W44" s="28">
        <v>0</v>
      </c>
      <c r="X44" s="31"/>
      <c r="Y44" s="28"/>
      <c r="Z44" s="31">
        <f t="shared" si="5"/>
        <v>1.3899999999999999E-2</v>
      </c>
      <c r="AA44" s="157"/>
      <c r="AC44" s="16"/>
      <c r="AD44" s="16"/>
    </row>
    <row r="45" spans="1:30" x14ac:dyDescent="0.25">
      <c r="A45" s="7" t="s">
        <v>161</v>
      </c>
      <c r="B45" s="7" t="s">
        <v>163</v>
      </c>
      <c r="C45" s="34">
        <f>C44</f>
        <v>0.54430000000000001</v>
      </c>
      <c r="D45" s="34">
        <f>D44</f>
        <v>0.28899999999999998</v>
      </c>
      <c r="E45" s="34">
        <f>E44</f>
        <v>0.28899999999999998</v>
      </c>
      <c r="F45" s="7"/>
      <c r="G45" s="7"/>
      <c r="H45" s="33">
        <f>H44</f>
        <v>1007.05</v>
      </c>
      <c r="I45" s="28">
        <v>55.9</v>
      </c>
      <c r="J45" s="33">
        <f>J36</f>
        <v>449.59</v>
      </c>
      <c r="K45" s="30"/>
      <c r="L45" s="28"/>
      <c r="M45" s="34">
        <f t="shared" si="4"/>
        <v>1.3899999999999999E-2</v>
      </c>
      <c r="N45" s="30"/>
      <c r="O45" s="21"/>
      <c r="P45" s="31">
        <f>'Rate Design MPB-1'!F244</f>
        <v>0.6321</v>
      </c>
      <c r="Q45" s="31">
        <f>'Rate Design MPB-1'!F245</f>
        <v>0.37730000000000002</v>
      </c>
      <c r="R45" s="31">
        <f>'Rate Design MPB-1'!F246</f>
        <v>0.32829999999999998</v>
      </c>
      <c r="S45" s="8"/>
      <c r="T45" s="8"/>
      <c r="U45" s="154">
        <f>'Rate Design MPB-1'!F239</f>
        <v>2007</v>
      </c>
      <c r="V45" s="33">
        <f>'Rate Design MPB-1'!F240</f>
        <v>0</v>
      </c>
      <c r="W45" s="28">
        <v>0</v>
      </c>
      <c r="Y45" s="28"/>
      <c r="Z45" s="31">
        <f t="shared" si="5"/>
        <v>1.3899999999999999E-2</v>
      </c>
      <c r="AA45" s="158"/>
      <c r="AC45" s="16"/>
      <c r="AD45" s="16"/>
    </row>
    <row r="46" spans="1:30" x14ac:dyDescent="0.25">
      <c r="A46" s="7" t="s">
        <v>164</v>
      </c>
      <c r="B46" s="7" t="s">
        <v>165</v>
      </c>
      <c r="C46" s="30">
        <v>2.2665999999999999</v>
      </c>
      <c r="D46" s="157">
        <v>1.752</v>
      </c>
      <c r="E46" s="7">
        <v>1.6658999999999999</v>
      </c>
      <c r="F46" s="7">
        <v>1.5164</v>
      </c>
      <c r="G46" s="7"/>
      <c r="H46" s="28">
        <v>37.5</v>
      </c>
      <c r="I46" s="28">
        <v>55.9</v>
      </c>
      <c r="J46" s="33">
        <f>J30</f>
        <v>8.02</v>
      </c>
      <c r="K46" s="30"/>
      <c r="L46" s="28"/>
      <c r="M46" s="34">
        <f t="shared" si="4"/>
        <v>1.3899999999999999E-2</v>
      </c>
      <c r="N46" s="30"/>
      <c r="O46" s="21"/>
      <c r="P46" s="31">
        <f>'Rate Design MPB-1'!F215</f>
        <v>3.0331999999999999</v>
      </c>
      <c r="Q46" s="31">
        <f>'Rate Design MPB-1'!F216</f>
        <v>2.3445999999999998</v>
      </c>
      <c r="R46" s="31">
        <f>'Rate Design MPB-1'!F217</f>
        <v>2.2294</v>
      </c>
      <c r="S46" s="31">
        <f>'Rate Design MPB-1'!F218</f>
        <v>2.0294000000000003</v>
      </c>
      <c r="T46" s="8"/>
      <c r="U46" s="154">
        <f>'Rate Design MPB-1'!F210</f>
        <v>44.69</v>
      </c>
      <c r="V46" s="33">
        <f>'Rate Design MPB-1'!F211</f>
        <v>0</v>
      </c>
      <c r="W46" s="28">
        <v>0</v>
      </c>
      <c r="Y46" s="29"/>
      <c r="Z46" s="31">
        <f t="shared" si="5"/>
        <v>1.3899999999999999E-2</v>
      </c>
      <c r="AA46" s="9"/>
      <c r="AC46" s="16"/>
      <c r="AD46" s="16"/>
    </row>
    <row r="47" spans="1:30" x14ac:dyDescent="0.25">
      <c r="A47" s="7" t="s">
        <v>164</v>
      </c>
      <c r="B47" s="7" t="s">
        <v>166</v>
      </c>
      <c r="C47" s="34">
        <f>C46</f>
        <v>2.2665999999999999</v>
      </c>
      <c r="D47" s="34">
        <f t="shared" ref="D47:F47" si="6">D46</f>
        <v>1.752</v>
      </c>
      <c r="E47" s="34">
        <f t="shared" si="6"/>
        <v>1.6658999999999999</v>
      </c>
      <c r="F47" s="34">
        <f t="shared" si="6"/>
        <v>1.5164</v>
      </c>
      <c r="G47" s="30"/>
      <c r="H47" s="33">
        <f>H46</f>
        <v>37.5</v>
      </c>
      <c r="I47" s="28">
        <v>55.9</v>
      </c>
      <c r="J47" s="33">
        <f>J31</f>
        <v>8.02</v>
      </c>
      <c r="K47" s="30"/>
      <c r="L47" s="28"/>
      <c r="M47" s="34">
        <f t="shared" si="4"/>
        <v>1.3899999999999999E-2</v>
      </c>
      <c r="N47" s="30"/>
      <c r="O47" s="21"/>
      <c r="P47" s="31">
        <f>'Rate Design MPB-1'!F215</f>
        <v>3.0331999999999999</v>
      </c>
      <c r="Q47" s="31">
        <f>'Rate Design MPB-1'!F216</f>
        <v>2.3445999999999998</v>
      </c>
      <c r="R47" s="31">
        <f>'Rate Design MPB-1'!F217</f>
        <v>2.2294</v>
      </c>
      <c r="S47" s="31">
        <f>'Rate Design MPB-1'!F218</f>
        <v>2.0294000000000003</v>
      </c>
      <c r="T47" s="31"/>
      <c r="U47" s="154">
        <f>'Rate Design MPB-1'!F210</f>
        <v>44.69</v>
      </c>
      <c r="V47" s="33">
        <f>'Rate Design MPB-1'!F211</f>
        <v>0</v>
      </c>
      <c r="W47" s="28">
        <v>0</v>
      </c>
      <c r="Y47" s="28"/>
      <c r="Z47" s="31">
        <f t="shared" si="5"/>
        <v>1.3899999999999999E-2</v>
      </c>
      <c r="AB47" s="16"/>
      <c r="AC47" s="16"/>
      <c r="AD47" s="16"/>
    </row>
    <row r="48" spans="1:30" x14ac:dyDescent="0.25">
      <c r="A48" s="7" t="s">
        <v>73</v>
      </c>
      <c r="B48" s="7" t="s">
        <v>120</v>
      </c>
      <c r="C48" s="30">
        <v>8.5800000000000001E-2</v>
      </c>
      <c r="D48" s="27"/>
      <c r="E48" s="7"/>
      <c r="F48" s="7"/>
      <c r="G48" s="7"/>
      <c r="H48" s="28">
        <v>200</v>
      </c>
      <c r="I48" s="28">
        <v>55.9</v>
      </c>
      <c r="J48" s="28"/>
      <c r="K48" s="30"/>
      <c r="L48" s="28"/>
      <c r="M48" s="34">
        <f t="shared" si="4"/>
        <v>1.3899999999999999E-2</v>
      </c>
      <c r="N48" s="30"/>
      <c r="O48" s="21"/>
      <c r="P48" s="31">
        <f>'Rate Design MPB-1'!F286</f>
        <v>8.5800000000000001E-2</v>
      </c>
      <c r="Q48" s="8"/>
      <c r="R48" s="8"/>
      <c r="S48" s="8"/>
      <c r="T48" s="8"/>
      <c r="U48" s="154">
        <f>'Rate Design MPB-1'!F282</f>
        <v>255.9</v>
      </c>
      <c r="V48" s="33">
        <f>'Rate Design MPB-1'!F283</f>
        <v>0</v>
      </c>
      <c r="W48" s="28"/>
      <c r="Y48" s="28"/>
      <c r="Z48" s="31">
        <f t="shared" si="5"/>
        <v>1.3899999999999999E-2</v>
      </c>
      <c r="AB48" s="16"/>
      <c r="AC48" s="16"/>
      <c r="AD48" s="16"/>
    </row>
    <row r="49" spans="1:30" x14ac:dyDescent="0.25">
      <c r="A49" s="7" t="s">
        <v>98</v>
      </c>
      <c r="B49" s="7" t="s">
        <v>122</v>
      </c>
      <c r="C49" s="30">
        <v>0.39</v>
      </c>
      <c r="D49" s="27"/>
      <c r="E49" s="7"/>
      <c r="F49" s="7"/>
      <c r="G49" s="9"/>
      <c r="H49" s="28">
        <v>1007.05</v>
      </c>
      <c r="I49" s="28">
        <v>55.9</v>
      </c>
      <c r="J49" s="28"/>
      <c r="K49" s="28"/>
      <c r="L49" s="28"/>
      <c r="M49" s="28"/>
      <c r="N49" s="28"/>
      <c r="O49" s="21"/>
      <c r="P49" s="31">
        <f t="shared" ref="P49:P54" si="7">C49</f>
        <v>0.39</v>
      </c>
      <c r="Q49" s="31"/>
      <c r="R49" s="8"/>
      <c r="S49" s="8"/>
      <c r="T49" s="8"/>
      <c r="U49" s="15">
        <f>H49+I49</f>
        <v>1062.95</v>
      </c>
      <c r="V49" s="28">
        <v>0</v>
      </c>
      <c r="W49" s="28"/>
      <c r="Y49" s="29"/>
      <c r="Z49" s="29"/>
      <c r="AB49" s="16"/>
      <c r="AC49" s="16"/>
      <c r="AD49" s="16"/>
    </row>
    <row r="50" spans="1:30" x14ac:dyDescent="0.25">
      <c r="A50" s="7" t="s">
        <v>99</v>
      </c>
      <c r="B50" s="7" t="s">
        <v>122</v>
      </c>
      <c r="C50" s="30">
        <v>0.39</v>
      </c>
      <c r="D50" s="27"/>
      <c r="E50" s="7"/>
      <c r="F50" s="7"/>
      <c r="G50" s="7"/>
      <c r="H50" s="28">
        <v>1007.05</v>
      </c>
      <c r="I50" s="28">
        <v>55.9</v>
      </c>
      <c r="J50" s="28"/>
      <c r="K50" s="28"/>
      <c r="L50" s="28"/>
      <c r="M50" s="28"/>
      <c r="N50" s="28"/>
      <c r="O50" s="21"/>
      <c r="P50" s="31">
        <f t="shared" si="7"/>
        <v>0.39</v>
      </c>
      <c r="Q50" s="8"/>
      <c r="R50" s="8"/>
      <c r="S50" s="8"/>
      <c r="T50" s="8"/>
      <c r="U50" s="15">
        <f>H50+I49</f>
        <v>1062.95</v>
      </c>
      <c r="V50" s="28">
        <v>0</v>
      </c>
      <c r="W50" s="28"/>
      <c r="Y50" s="29"/>
      <c r="Z50" s="29"/>
      <c r="AB50" s="16"/>
      <c r="AC50" s="16"/>
      <c r="AD50" s="16"/>
    </row>
    <row r="51" spans="1:30" x14ac:dyDescent="0.25">
      <c r="A51" s="7" t="s">
        <v>100</v>
      </c>
      <c r="B51" s="7" t="s">
        <v>121</v>
      </c>
      <c r="C51" s="30">
        <v>8.5800000000000001E-2</v>
      </c>
      <c r="D51" s="27"/>
      <c r="E51" s="7"/>
      <c r="F51" s="7"/>
      <c r="G51" s="7"/>
      <c r="H51" s="28">
        <v>200</v>
      </c>
      <c r="I51" s="28">
        <v>55.9</v>
      </c>
      <c r="J51" s="28"/>
      <c r="K51" s="28"/>
      <c r="L51" s="28"/>
      <c r="M51" s="28"/>
      <c r="N51" s="28"/>
      <c r="O51" s="21"/>
      <c r="P51" s="31">
        <f t="shared" si="7"/>
        <v>8.5800000000000001E-2</v>
      </c>
      <c r="Q51" s="8"/>
      <c r="R51" s="8"/>
      <c r="S51" s="8"/>
      <c r="T51" s="8"/>
      <c r="U51" s="15">
        <f>H51+I51</f>
        <v>255.9</v>
      </c>
      <c r="V51" s="28">
        <v>0</v>
      </c>
      <c r="W51" s="28"/>
      <c r="Y51" s="29"/>
      <c r="Z51" s="29"/>
      <c r="AB51" s="16"/>
      <c r="AC51" s="16"/>
      <c r="AD51" s="16"/>
    </row>
    <row r="52" spans="1:30" x14ac:dyDescent="0.25">
      <c r="A52" s="7" t="s">
        <v>138</v>
      </c>
      <c r="B52" s="7" t="s">
        <v>121</v>
      </c>
      <c r="C52" s="30">
        <v>0.49</v>
      </c>
      <c r="D52" s="27">
        <v>0.27</v>
      </c>
      <c r="E52" s="27">
        <v>0.27</v>
      </c>
      <c r="F52" s="7"/>
      <c r="G52" s="7"/>
      <c r="H52" s="28">
        <v>1007.05</v>
      </c>
      <c r="I52" s="28">
        <v>55.9</v>
      </c>
      <c r="J52" s="33"/>
      <c r="K52" s="9"/>
      <c r="L52" s="28"/>
      <c r="M52" s="9"/>
      <c r="N52" s="9"/>
      <c r="O52" s="21"/>
      <c r="P52" s="31">
        <f t="shared" si="7"/>
        <v>0.49</v>
      </c>
      <c r="Q52" s="31">
        <f>D52</f>
        <v>0.27</v>
      </c>
      <c r="R52" s="8"/>
      <c r="S52" s="8"/>
      <c r="T52" s="8"/>
      <c r="U52" s="15">
        <f>H52+I52</f>
        <v>1062.95</v>
      </c>
      <c r="V52" s="28">
        <v>0</v>
      </c>
      <c r="W52" s="33"/>
      <c r="Y52" s="28"/>
      <c r="AB52" s="16"/>
      <c r="AC52" s="16"/>
      <c r="AD52" s="16"/>
    </row>
    <row r="53" spans="1:30" x14ac:dyDescent="0.25">
      <c r="A53" s="7" t="s">
        <v>139</v>
      </c>
      <c r="B53" s="7" t="s">
        <v>140</v>
      </c>
      <c r="C53" s="30">
        <v>0.54430000000000001</v>
      </c>
      <c r="D53" s="27">
        <v>0.28899999999999998</v>
      </c>
      <c r="E53" s="27">
        <v>0.28899999999999998</v>
      </c>
      <c r="F53" s="7"/>
      <c r="G53" s="7"/>
      <c r="H53" s="28">
        <v>1007.05</v>
      </c>
      <c r="I53" s="28">
        <v>55.9</v>
      </c>
      <c r="J53" s="33">
        <f>J36</f>
        <v>449.59</v>
      </c>
      <c r="K53" s="30"/>
      <c r="L53" s="28"/>
      <c r="M53" s="34">
        <f t="shared" ref="M53" si="8">$M$19</f>
        <v>1.3899999999999999E-2</v>
      </c>
      <c r="N53" s="30"/>
      <c r="O53" s="21"/>
      <c r="P53" s="31">
        <f>'Rate Design MPB-1'!F244</f>
        <v>0.6321</v>
      </c>
      <c r="Q53" s="31">
        <f>'Rate Design MPB-1'!F245</f>
        <v>0.37730000000000002</v>
      </c>
      <c r="R53" s="31">
        <f>'Rate Design MPB-1'!F246</f>
        <v>0.32829999999999998</v>
      </c>
      <c r="S53" s="7"/>
      <c r="T53" s="7"/>
      <c r="U53" s="154">
        <f>'Rate Design MPB-1'!F239</f>
        <v>2007</v>
      </c>
      <c r="V53" s="33">
        <f>'Rate Design MPB-1'!F240</f>
        <v>0</v>
      </c>
      <c r="W53" s="28">
        <v>0</v>
      </c>
      <c r="Y53" s="28"/>
      <c r="Z53" s="31">
        <f>M53</f>
        <v>1.3899999999999999E-2</v>
      </c>
      <c r="AB53" s="16"/>
      <c r="AC53" s="16"/>
      <c r="AD53" s="16"/>
    </row>
    <row r="54" spans="1:30" x14ac:dyDescent="0.25">
      <c r="A54" s="7" t="s">
        <v>101</v>
      </c>
      <c r="B54" s="7" t="s">
        <v>119</v>
      </c>
      <c r="C54" s="30">
        <v>0.28999999999999998</v>
      </c>
      <c r="D54" s="27">
        <v>0.16</v>
      </c>
      <c r="E54" s="27">
        <v>0.16</v>
      </c>
      <c r="F54" s="7"/>
      <c r="G54" s="7"/>
      <c r="H54" s="28">
        <v>1007.05</v>
      </c>
      <c r="I54" s="28">
        <v>55.9</v>
      </c>
      <c r="J54" s="28"/>
      <c r="K54" s="28"/>
      <c r="L54" s="28"/>
      <c r="M54" s="28"/>
      <c r="N54" s="28"/>
      <c r="O54" s="21"/>
      <c r="P54" s="31">
        <f t="shared" si="7"/>
        <v>0.28999999999999998</v>
      </c>
      <c r="Q54" s="31">
        <f>D54</f>
        <v>0.16</v>
      </c>
      <c r="R54" s="8"/>
      <c r="S54" s="8"/>
      <c r="T54" s="8"/>
      <c r="U54" s="15">
        <f>H54+I54</f>
        <v>1062.95</v>
      </c>
      <c r="V54" s="28">
        <v>0</v>
      </c>
      <c r="W54" s="29"/>
      <c r="Y54" s="29"/>
      <c r="Z54" s="29"/>
      <c r="AB54" s="16"/>
      <c r="AC54" s="16"/>
      <c r="AD54" s="16"/>
    </row>
    <row r="55" spans="1:30" ht="13.8" thickBot="1" x14ac:dyDescent="0.3">
      <c r="A55" s="11"/>
      <c r="B55" s="11"/>
      <c r="C55" s="11"/>
      <c r="D55" s="12"/>
      <c r="E55" s="11"/>
      <c r="F55" s="11"/>
      <c r="G55" s="11"/>
      <c r="H55" s="11"/>
      <c r="I55" s="11"/>
      <c r="J55" s="1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6"/>
      <c r="AC55" s="16"/>
      <c r="AD55" s="16"/>
    </row>
    <row r="56" spans="1:30" x14ac:dyDescent="0.25">
      <c r="A56" s="9"/>
      <c r="B56" s="9"/>
      <c r="J56" s="15"/>
      <c r="AA56" s="16"/>
      <c r="AB56" s="16"/>
      <c r="AC56" s="16"/>
    </row>
    <row r="57" spans="1:30" x14ac:dyDescent="0.25">
      <c r="A57" s="7"/>
      <c r="B57" s="7"/>
      <c r="C57" s="17"/>
      <c r="D57" s="18"/>
      <c r="E57" s="17"/>
      <c r="F57" s="17"/>
      <c r="G57" s="17"/>
      <c r="H57" s="19"/>
      <c r="I57" s="19"/>
      <c r="J57" s="15"/>
      <c r="AA57" s="16"/>
      <c r="AB57" s="16"/>
      <c r="AC57" s="16"/>
    </row>
    <row r="58" spans="1:30" x14ac:dyDescent="0.25">
      <c r="A58" s="7"/>
      <c r="B58" s="7"/>
      <c r="C58" s="17"/>
      <c r="D58" s="18"/>
      <c r="E58" s="17"/>
      <c r="F58" s="17"/>
      <c r="G58" s="17"/>
      <c r="H58" s="19"/>
      <c r="I58" s="19"/>
      <c r="J58" s="15"/>
      <c r="AA58" s="16"/>
      <c r="AB58" s="16"/>
      <c r="AC58" s="16"/>
    </row>
    <row r="59" spans="1:30" x14ac:dyDescent="0.25">
      <c r="A59" s="7"/>
      <c r="B59" s="7"/>
      <c r="C59" s="17"/>
      <c r="D59" s="18"/>
      <c r="E59" s="17"/>
      <c r="F59" s="17"/>
      <c r="G59" s="17"/>
      <c r="H59" s="19"/>
      <c r="I59" s="19"/>
      <c r="J59" s="15"/>
      <c r="AA59" s="16"/>
      <c r="AB59" s="16"/>
      <c r="AC59" s="16"/>
    </row>
    <row r="60" spans="1:30" x14ac:dyDescent="0.25">
      <c r="A60" s="9"/>
      <c r="B60" s="9"/>
      <c r="J60" s="15"/>
      <c r="AA60" s="16"/>
      <c r="AB60" s="16"/>
      <c r="AC60" s="16"/>
    </row>
    <row r="61" spans="1:30" x14ac:dyDescent="0.25">
      <c r="A61" s="9"/>
      <c r="B61" s="9"/>
      <c r="J61" s="15"/>
      <c r="AA61" s="16"/>
      <c r="AB61" s="16"/>
      <c r="AC61" s="16"/>
    </row>
    <row r="62" spans="1:30" x14ac:dyDescent="0.25">
      <c r="A62" s="9"/>
      <c r="B62" s="9"/>
      <c r="J62" s="15"/>
      <c r="AA62" s="16"/>
      <c r="AB62" s="16"/>
      <c r="AC62" s="16"/>
    </row>
    <row r="63" spans="1:30" x14ac:dyDescent="0.25">
      <c r="A63" s="9"/>
      <c r="B63" s="9"/>
      <c r="J63" s="15"/>
      <c r="AA63" s="16"/>
      <c r="AB63" s="16"/>
      <c r="AC63" s="16"/>
    </row>
    <row r="64" spans="1:30" x14ac:dyDescent="0.25">
      <c r="A64" s="9"/>
      <c r="B64" s="9"/>
      <c r="J64" s="15"/>
      <c r="AA64" s="16"/>
      <c r="AB64" s="16"/>
      <c r="AC64" s="16"/>
    </row>
    <row r="65" spans="1:29" x14ac:dyDescent="0.25">
      <c r="A65" s="9"/>
      <c r="B65" s="9"/>
      <c r="J65" s="15"/>
      <c r="AB65" s="16"/>
      <c r="AC65" s="16"/>
    </row>
    <row r="66" spans="1:29" x14ac:dyDescent="0.25">
      <c r="A66" s="9"/>
      <c r="B66" s="9"/>
      <c r="J66" s="15"/>
      <c r="AB66" s="16"/>
      <c r="AC66" s="16"/>
    </row>
    <row r="67" spans="1:29" x14ac:dyDescent="0.25">
      <c r="A67" s="9"/>
      <c r="B67" s="9"/>
      <c r="J67" s="15"/>
      <c r="AB67" s="16"/>
      <c r="AC67" s="16"/>
    </row>
    <row r="68" spans="1:29" x14ac:dyDescent="0.25">
      <c r="A68" s="9"/>
      <c r="B68" s="9"/>
      <c r="J68" s="15"/>
      <c r="AB68" s="16"/>
      <c r="AC68" s="16"/>
    </row>
    <row r="69" spans="1:29" x14ac:dyDescent="0.25">
      <c r="A69" s="9"/>
      <c r="B69" s="9"/>
      <c r="J69" s="15"/>
      <c r="AB69" s="16"/>
      <c r="AC69" s="16"/>
    </row>
    <row r="70" spans="1:29" x14ac:dyDescent="0.25">
      <c r="A70" s="9"/>
      <c r="B70" s="9"/>
      <c r="J70" s="15"/>
      <c r="AA70" s="16"/>
      <c r="AB70" s="16"/>
      <c r="AC70" s="16"/>
    </row>
    <row r="71" spans="1:29" x14ac:dyDescent="0.25">
      <c r="A71" s="9"/>
      <c r="B71" s="9"/>
      <c r="J71" s="15"/>
      <c r="AA71" s="16"/>
      <c r="AB71" s="16"/>
      <c r="AC71" s="16"/>
    </row>
    <row r="72" spans="1:29" x14ac:dyDescent="0.25">
      <c r="A72" s="9"/>
      <c r="B72" s="9"/>
      <c r="J72" s="15"/>
      <c r="AA72" s="16"/>
      <c r="AB72" s="16"/>
      <c r="AC72" s="16"/>
    </row>
    <row r="73" spans="1:29" x14ac:dyDescent="0.25">
      <c r="A73" s="9"/>
      <c r="B73" s="9"/>
      <c r="J73" s="15"/>
      <c r="AA73" s="16"/>
      <c r="AB73" s="16"/>
      <c r="AC73" s="16"/>
    </row>
    <row r="74" spans="1:29" x14ac:dyDescent="0.25">
      <c r="A74" s="9"/>
      <c r="B74" s="9"/>
      <c r="J74" s="15"/>
      <c r="AA74" s="16"/>
      <c r="AB74" s="16"/>
      <c r="AC74" s="16"/>
    </row>
    <row r="75" spans="1:29" x14ac:dyDescent="0.25">
      <c r="A75" s="9"/>
      <c r="B75" s="9"/>
      <c r="J75" s="15"/>
      <c r="AA75" s="16"/>
      <c r="AB75" s="16"/>
      <c r="AC75" s="16"/>
    </row>
    <row r="76" spans="1:29" x14ac:dyDescent="0.25">
      <c r="A76" s="9"/>
      <c r="B76" s="9"/>
      <c r="J76" s="15"/>
      <c r="AA76" s="16"/>
      <c r="AB76" s="16"/>
      <c r="AC76" s="16"/>
    </row>
    <row r="77" spans="1:29" x14ac:dyDescent="0.25">
      <c r="A77" s="9"/>
      <c r="B77" s="9"/>
      <c r="J77" s="15"/>
      <c r="AA77" s="16"/>
      <c r="AB77" s="16"/>
      <c r="AC77" s="16"/>
    </row>
    <row r="78" spans="1:29" x14ac:dyDescent="0.25">
      <c r="A78" s="9"/>
      <c r="B78" s="9"/>
      <c r="J78" s="15"/>
      <c r="AA78" s="16"/>
      <c r="AB78" s="16"/>
      <c r="AC78" s="16"/>
    </row>
    <row r="79" spans="1:29" x14ac:dyDescent="0.25">
      <c r="A79" s="9"/>
      <c r="B79" s="9"/>
      <c r="J79" s="15"/>
    </row>
    <row r="80" spans="1:29" x14ac:dyDescent="0.25">
      <c r="A80" s="9"/>
      <c r="B80" s="9"/>
      <c r="J80" s="15"/>
      <c r="AA80" s="16"/>
      <c r="AB80" s="16"/>
      <c r="AC80" s="16"/>
    </row>
    <row r="81" spans="1:30" x14ac:dyDescent="0.25">
      <c r="A81" s="9"/>
      <c r="B81" s="9"/>
      <c r="J81" s="15"/>
      <c r="AA81" s="16"/>
      <c r="AB81" s="16"/>
      <c r="AC81" s="16"/>
    </row>
    <row r="82" spans="1:30" x14ac:dyDescent="0.25">
      <c r="A82" s="9"/>
      <c r="B82" s="9"/>
      <c r="J82" s="15"/>
      <c r="AA82" s="16"/>
      <c r="AB82" s="16"/>
      <c r="AC82" s="16"/>
    </row>
    <row r="83" spans="1:30" x14ac:dyDescent="0.25">
      <c r="A83" s="9"/>
      <c r="B83" s="9"/>
      <c r="J83" s="15"/>
      <c r="AA83" s="16"/>
      <c r="AB83" s="16"/>
      <c r="AC83" s="16"/>
    </row>
    <row r="84" spans="1:30" x14ac:dyDescent="0.25">
      <c r="A84" s="9"/>
      <c r="B84" s="9"/>
      <c r="J84" s="15"/>
      <c r="AA84" s="16"/>
      <c r="AB84" s="16"/>
      <c r="AC84" s="16"/>
    </row>
    <row r="85" spans="1:30" x14ac:dyDescent="0.25">
      <c r="A85" s="9"/>
      <c r="B85" s="9"/>
      <c r="J85" s="15"/>
    </row>
    <row r="86" spans="1:30" x14ac:dyDescent="0.25">
      <c r="A86" s="9"/>
      <c r="B86" s="9"/>
      <c r="J86" s="15"/>
      <c r="AA86" s="16"/>
      <c r="AB86" s="16"/>
      <c r="AD86" s="16">
        <f>SUM(AD81:AD84)</f>
        <v>0</v>
      </c>
    </row>
    <row r="87" spans="1:30" x14ac:dyDescent="0.25">
      <c r="A87" s="9"/>
      <c r="B87" s="9"/>
      <c r="J87" s="15"/>
    </row>
    <row r="88" spans="1:30" x14ac:dyDescent="0.25">
      <c r="A88" s="9"/>
      <c r="B88" s="9"/>
      <c r="J88" s="15"/>
    </row>
    <row r="89" spans="1:30" x14ac:dyDescent="0.25">
      <c r="A89" s="9"/>
      <c r="B89" s="9"/>
      <c r="J89" s="15"/>
      <c r="AA89" s="16"/>
      <c r="AB89" s="16"/>
      <c r="AC89" s="16"/>
    </row>
    <row r="90" spans="1:30" x14ac:dyDescent="0.25">
      <c r="A90" s="9"/>
      <c r="B90" s="9"/>
      <c r="J90" s="15"/>
      <c r="AA90" s="16"/>
      <c r="AB90" s="16"/>
      <c r="AC90" s="16"/>
    </row>
    <row r="91" spans="1:30" x14ac:dyDescent="0.25">
      <c r="A91" s="9"/>
      <c r="B91" s="9"/>
      <c r="J91" s="15"/>
      <c r="AA91" s="16"/>
      <c r="AB91" s="16"/>
      <c r="AC91" s="16"/>
    </row>
    <row r="92" spans="1:30" x14ac:dyDescent="0.25">
      <c r="A92" s="9"/>
      <c r="B92" s="9"/>
      <c r="J92" s="15"/>
      <c r="AA92" s="16"/>
      <c r="AB92" s="16"/>
      <c r="AC92" s="16"/>
    </row>
    <row r="93" spans="1:30" x14ac:dyDescent="0.25">
      <c r="A93" s="9"/>
      <c r="B93" s="9"/>
      <c r="J93" s="15"/>
      <c r="AA93" s="16"/>
      <c r="AB93" s="16"/>
      <c r="AC93" s="16"/>
    </row>
    <row r="94" spans="1:30" x14ac:dyDescent="0.25">
      <c r="A94" s="9"/>
      <c r="B94" s="9"/>
      <c r="J94" s="15"/>
      <c r="AA94" s="16"/>
      <c r="AB94" s="16"/>
      <c r="AC94" s="16"/>
    </row>
    <row r="95" spans="1:30" x14ac:dyDescent="0.25">
      <c r="A95" s="9"/>
      <c r="B95" s="9"/>
      <c r="J95" s="15"/>
      <c r="AB95" s="16"/>
      <c r="AC95" s="16"/>
    </row>
    <row r="96" spans="1:30" x14ac:dyDescent="0.25">
      <c r="A96" s="9"/>
      <c r="B96" s="9"/>
      <c r="J96" s="15"/>
      <c r="AB96" s="16"/>
      <c r="AC96" s="16"/>
    </row>
    <row r="97" spans="10:29" x14ac:dyDescent="0.25">
      <c r="J97" s="15"/>
      <c r="AB97" s="16"/>
      <c r="AC97" s="16"/>
    </row>
    <row r="98" spans="10:29" x14ac:dyDescent="0.25">
      <c r="J98" s="15"/>
      <c r="AB98" s="16"/>
      <c r="AC98" s="16"/>
    </row>
    <row r="99" spans="10:29" x14ac:dyDescent="0.25">
      <c r="J99" s="15"/>
      <c r="AB99" s="16"/>
      <c r="AC99" s="16"/>
    </row>
    <row r="100" spans="10:29" x14ac:dyDescent="0.25">
      <c r="J100" s="15"/>
    </row>
    <row r="101" spans="10:29" x14ac:dyDescent="0.25">
      <c r="J101" s="15"/>
    </row>
    <row r="102" spans="10:29" x14ac:dyDescent="0.25">
      <c r="J102" s="15"/>
    </row>
    <row r="103" spans="10:29" x14ac:dyDescent="0.25">
      <c r="J103" s="15"/>
      <c r="AA103" s="16"/>
      <c r="AB103" s="16"/>
      <c r="AC103" s="16"/>
    </row>
    <row r="104" spans="10:29" x14ac:dyDescent="0.25">
      <c r="J104" s="15"/>
      <c r="AA104" s="16"/>
      <c r="AB104" s="16"/>
      <c r="AC104" s="16"/>
    </row>
    <row r="105" spans="10:29" x14ac:dyDescent="0.25">
      <c r="J105" s="15"/>
      <c r="AA105" s="16"/>
      <c r="AB105" s="16"/>
      <c r="AC105" s="16"/>
    </row>
    <row r="106" spans="10:29" x14ac:dyDescent="0.25">
      <c r="J106" s="15"/>
      <c r="AA106" s="16"/>
      <c r="AB106" s="16"/>
      <c r="AC106" s="16"/>
    </row>
    <row r="107" spans="10:29" x14ac:dyDescent="0.25">
      <c r="J107" s="15"/>
      <c r="AA107" s="16"/>
      <c r="AB107" s="16"/>
      <c r="AC107" s="16"/>
    </row>
    <row r="108" spans="10:29" x14ac:dyDescent="0.25">
      <c r="AA108" s="16"/>
      <c r="AB108" s="16"/>
      <c r="AC108" s="16"/>
    </row>
    <row r="109" spans="10:29" x14ac:dyDescent="0.25">
      <c r="AA109" s="16"/>
      <c r="AB109" s="16"/>
      <c r="AC109" s="16"/>
    </row>
    <row r="110" spans="10:29" x14ac:dyDescent="0.25">
      <c r="AA110" s="16"/>
      <c r="AB110" s="16"/>
      <c r="AC110" s="16"/>
    </row>
    <row r="111" spans="10:29" x14ac:dyDescent="0.25">
      <c r="AA111" s="16"/>
      <c r="AB111" s="16"/>
      <c r="AC111" s="16"/>
    </row>
    <row r="112" spans="10:29" x14ac:dyDescent="0.25">
      <c r="AA112" s="16"/>
      <c r="AB112" s="16"/>
      <c r="AC112" s="16"/>
    </row>
    <row r="113" spans="27:30" x14ac:dyDescent="0.25">
      <c r="AA113" s="16"/>
      <c r="AB113" s="16"/>
      <c r="AC113" s="16"/>
    </row>
    <row r="115" spans="27:30" x14ac:dyDescent="0.25">
      <c r="AA115" s="16"/>
    </row>
    <row r="117" spans="27:30" x14ac:dyDescent="0.25">
      <c r="AA117" s="16"/>
      <c r="AB117" s="16"/>
      <c r="AC117" s="16"/>
    </row>
    <row r="118" spans="27:30" x14ac:dyDescent="0.25">
      <c r="AA118" s="16"/>
      <c r="AB118" s="16"/>
      <c r="AC118" s="16"/>
    </row>
    <row r="119" spans="27:30" x14ac:dyDescent="0.25">
      <c r="AA119" s="16"/>
      <c r="AB119" s="16"/>
      <c r="AC119" s="16"/>
    </row>
    <row r="120" spans="27:30" ht="5.0999999999999996" customHeight="1" x14ac:dyDescent="0.25">
      <c r="AA120" s="16"/>
      <c r="AB120" s="16"/>
      <c r="AC120" s="16"/>
    </row>
    <row r="121" spans="27:30" x14ac:dyDescent="0.25">
      <c r="AB121" s="16"/>
      <c r="AC121" s="16"/>
    </row>
    <row r="122" spans="27:30" ht="5.0999999999999996" customHeight="1" x14ac:dyDescent="0.25">
      <c r="AB122" s="16"/>
      <c r="AC122" s="16"/>
    </row>
    <row r="123" spans="27:30" x14ac:dyDescent="0.25">
      <c r="AB123" s="16"/>
      <c r="AD123" s="16"/>
    </row>
    <row r="124" spans="27:30" ht="5.0999999999999996" customHeight="1" x14ac:dyDescent="0.25">
      <c r="AB124" s="16"/>
      <c r="AC124" s="16"/>
    </row>
    <row r="125" spans="27:30" x14ac:dyDescent="0.25">
      <c r="AB125" s="16"/>
      <c r="AD125" s="16"/>
    </row>
    <row r="126" spans="27:30" ht="5.0999999999999996" customHeight="1" x14ac:dyDescent="0.25">
      <c r="AB126" s="16"/>
      <c r="AC126" s="16"/>
    </row>
    <row r="127" spans="27:30" x14ac:dyDescent="0.25">
      <c r="AB127" s="16"/>
      <c r="AC127" s="16"/>
    </row>
    <row r="128" spans="27:30" x14ac:dyDescent="0.25">
      <c r="AA128" s="16"/>
      <c r="AB128" s="16"/>
      <c r="AC128" s="16"/>
    </row>
    <row r="129" spans="27:29" ht="0.9" customHeight="1" x14ac:dyDescent="0.25">
      <c r="AA129" s="16"/>
      <c r="AB129" s="16"/>
      <c r="AC129" s="16"/>
    </row>
    <row r="130" spans="27:29" x14ac:dyDescent="0.25">
      <c r="AA130" s="16"/>
      <c r="AB130" s="16"/>
      <c r="AC130" s="16"/>
    </row>
    <row r="131" spans="27:29" x14ac:dyDescent="0.25">
      <c r="AA131" s="16"/>
      <c r="AB131" s="16"/>
    </row>
    <row r="132" spans="27:29" x14ac:dyDescent="0.25">
      <c r="AA132" s="16"/>
      <c r="AB132" s="16"/>
    </row>
    <row r="133" spans="27:29" x14ac:dyDescent="0.25">
      <c r="AA133" s="16"/>
      <c r="AB133" s="16"/>
    </row>
    <row r="134" spans="27:29" x14ac:dyDescent="0.25">
      <c r="AA134" s="16"/>
      <c r="AB134" s="16"/>
    </row>
    <row r="135" spans="27:29" x14ac:dyDescent="0.25">
      <c r="AA135" s="16"/>
      <c r="AB135" s="16"/>
    </row>
    <row r="136" spans="27:29" x14ac:dyDescent="0.25">
      <c r="AA136" s="16"/>
      <c r="AB136" s="16"/>
    </row>
    <row r="137" spans="27:29" x14ac:dyDescent="0.25">
      <c r="AB137" s="16"/>
    </row>
    <row r="138" spans="27:29" x14ac:dyDescent="0.25">
      <c r="AB138" s="16"/>
    </row>
    <row r="139" spans="27:29" x14ac:dyDescent="0.25">
      <c r="AB139" s="16"/>
    </row>
    <row r="140" spans="27:29" x14ac:dyDescent="0.25">
      <c r="AB140" s="16"/>
    </row>
    <row r="141" spans="27:29" x14ac:dyDescent="0.25">
      <c r="AB141" s="16"/>
    </row>
    <row r="142" spans="27:29" ht="5.0999999999999996" customHeight="1" x14ac:dyDescent="0.25">
      <c r="AA142" s="16"/>
      <c r="AB142" s="16"/>
    </row>
    <row r="143" spans="27:29" ht="0.9" customHeight="1" x14ac:dyDescent="0.25">
      <c r="AA143" s="16"/>
      <c r="AB143" s="16"/>
    </row>
    <row r="144" spans="27:29" x14ac:dyDescent="0.25">
      <c r="AA144" s="16"/>
      <c r="AB144" s="16"/>
    </row>
    <row r="145" spans="27:28" x14ac:dyDescent="0.25">
      <c r="AA145" s="16"/>
      <c r="AB145" s="16"/>
    </row>
    <row r="146" spans="27:28" x14ac:dyDescent="0.25">
      <c r="AA146" s="16"/>
      <c r="AB146" s="16"/>
    </row>
    <row r="147" spans="27:28" x14ac:dyDescent="0.25">
      <c r="AA147" s="16"/>
      <c r="AB147" s="16"/>
    </row>
    <row r="148" spans="27:28" x14ac:dyDescent="0.25">
      <c r="AA148" s="16"/>
      <c r="AB148" s="16"/>
    </row>
    <row r="149" spans="27:28" x14ac:dyDescent="0.25">
      <c r="AA149" s="16"/>
      <c r="AB149" s="16"/>
    </row>
    <row r="150" spans="27:28" x14ac:dyDescent="0.25">
      <c r="AA150" s="16"/>
      <c r="AB150" s="16"/>
    </row>
    <row r="151" spans="27:28" x14ac:dyDescent="0.25">
      <c r="AA151" s="16"/>
      <c r="AB151" s="16"/>
    </row>
    <row r="152" spans="27:28" x14ac:dyDescent="0.25">
      <c r="AA152" s="16"/>
      <c r="AB152" s="16"/>
    </row>
    <row r="153" spans="27:28" x14ac:dyDescent="0.25">
      <c r="AA153" s="16"/>
      <c r="AB153" s="16"/>
    </row>
    <row r="154" spans="27:28" x14ac:dyDescent="0.25">
      <c r="AA154" s="16"/>
      <c r="AB154" s="16"/>
    </row>
    <row r="155" spans="27:28" x14ac:dyDescent="0.25">
      <c r="AA155" s="16"/>
      <c r="AB155" s="16"/>
    </row>
    <row r="156" spans="27:28" x14ac:dyDescent="0.25">
      <c r="AA156" s="16"/>
      <c r="AB156" s="16"/>
    </row>
    <row r="157" spans="27:28" x14ac:dyDescent="0.25">
      <c r="AA157" s="16"/>
      <c r="AB157" s="16"/>
    </row>
    <row r="158" spans="27:28" x14ac:dyDescent="0.25">
      <c r="AA158" s="16"/>
      <c r="AB158" s="16"/>
    </row>
    <row r="159" spans="27:28" x14ac:dyDescent="0.25">
      <c r="AA159" s="16"/>
      <c r="AB159" s="16"/>
    </row>
    <row r="160" spans="27:28" x14ac:dyDescent="0.25">
      <c r="AA160" s="16"/>
      <c r="AB160" s="16"/>
    </row>
    <row r="161" spans="27:30" x14ac:dyDescent="0.25">
      <c r="AA161" s="16"/>
      <c r="AB161" s="16"/>
    </row>
    <row r="162" spans="27:30" x14ac:dyDescent="0.25">
      <c r="AA162" s="16"/>
      <c r="AB162" s="16"/>
    </row>
    <row r="163" spans="27:30" x14ac:dyDescent="0.25">
      <c r="AA163" s="16"/>
      <c r="AB163" s="16"/>
    </row>
    <row r="164" spans="27:30" x14ac:dyDescent="0.25">
      <c r="AA164" s="16"/>
      <c r="AB164" s="16"/>
    </row>
    <row r="165" spans="27:30" x14ac:dyDescent="0.25">
      <c r="AA165" s="16"/>
      <c r="AB165" s="16"/>
    </row>
    <row r="166" spans="27:30" x14ac:dyDescent="0.25">
      <c r="AA166" s="16"/>
      <c r="AB166" s="16"/>
    </row>
    <row r="167" spans="27:30" x14ac:dyDescent="0.25">
      <c r="AA167" s="16"/>
      <c r="AB167" s="16"/>
    </row>
    <row r="168" spans="27:30" x14ac:dyDescent="0.25">
      <c r="AA168" s="16"/>
      <c r="AB168" s="16"/>
    </row>
    <row r="169" spans="27:30" x14ac:dyDescent="0.25">
      <c r="AA169" s="16"/>
      <c r="AB169" s="16"/>
    </row>
    <row r="170" spans="27:30" x14ac:dyDescent="0.25">
      <c r="AA170" s="16"/>
      <c r="AB170" s="16"/>
    </row>
    <row r="172" spans="27:30" x14ac:dyDescent="0.25">
      <c r="AA172" s="16"/>
    </row>
    <row r="174" spans="27:30" x14ac:dyDescent="0.25">
      <c r="AA174" s="16"/>
    </row>
    <row r="176" spans="27:30" x14ac:dyDescent="0.25">
      <c r="AB176" s="16"/>
      <c r="AD176" s="16"/>
    </row>
    <row r="178" spans="27:29" x14ac:dyDescent="0.25">
      <c r="AA178" s="16"/>
    </row>
    <row r="192" spans="27:29" x14ac:dyDescent="0.25">
      <c r="AA192" s="16"/>
      <c r="AB192" s="16"/>
      <c r="AC192" s="16"/>
    </row>
    <row r="193" spans="27:29" x14ac:dyDescent="0.25">
      <c r="AA193" s="16"/>
      <c r="AB193" s="16"/>
      <c r="AC193" s="16"/>
    </row>
    <row r="194" spans="27:29" x14ac:dyDescent="0.25">
      <c r="AA194" s="16"/>
      <c r="AB194" s="16"/>
      <c r="AC194" s="16"/>
    </row>
    <row r="195" spans="27:29" x14ac:dyDescent="0.25">
      <c r="AA195" s="16"/>
      <c r="AB195" s="16"/>
      <c r="AC195" s="16"/>
    </row>
    <row r="196" spans="27:29" x14ac:dyDescent="0.25">
      <c r="AA196" s="16"/>
      <c r="AB196" s="16"/>
      <c r="AC196" s="16"/>
    </row>
    <row r="197" spans="27:29" x14ac:dyDescent="0.25">
      <c r="AA197" s="16"/>
      <c r="AB197" s="16"/>
      <c r="AC197" s="16"/>
    </row>
    <row r="198" spans="27:29" x14ac:dyDescent="0.25">
      <c r="AB198" s="16"/>
      <c r="AC198" s="16"/>
    </row>
    <row r="199" spans="27:29" x14ac:dyDescent="0.25">
      <c r="AB199" s="16"/>
      <c r="AC199" s="16"/>
    </row>
    <row r="200" spans="27:29" x14ac:dyDescent="0.25">
      <c r="AB200" s="16"/>
      <c r="AC200" s="16"/>
    </row>
    <row r="201" spans="27:29" x14ac:dyDescent="0.25">
      <c r="AB201" s="16"/>
      <c r="AC201" s="16"/>
    </row>
    <row r="202" spans="27:29" x14ac:dyDescent="0.25">
      <c r="AB202" s="16"/>
      <c r="AC202" s="16"/>
    </row>
    <row r="203" spans="27:29" x14ac:dyDescent="0.25">
      <c r="AA203" s="16"/>
      <c r="AB203" s="16"/>
      <c r="AC203" s="16"/>
    </row>
    <row r="204" spans="27:29" x14ac:dyDescent="0.25">
      <c r="AA204" s="16"/>
      <c r="AB204" s="16"/>
      <c r="AC204" s="16"/>
    </row>
    <row r="205" spans="27:29" x14ac:dyDescent="0.25">
      <c r="AA205" s="16"/>
      <c r="AB205" s="16"/>
      <c r="AC205" s="16"/>
    </row>
    <row r="206" spans="27:29" x14ac:dyDescent="0.25">
      <c r="AA206" s="16"/>
      <c r="AB206" s="16"/>
      <c r="AC206" s="16"/>
    </row>
    <row r="207" spans="27:29" x14ac:dyDescent="0.25">
      <c r="AA207" s="16"/>
      <c r="AB207" s="16"/>
      <c r="AC207" s="16"/>
    </row>
    <row r="208" spans="27:29" x14ac:dyDescent="0.25">
      <c r="AA208" s="16"/>
      <c r="AB208" s="16"/>
      <c r="AC208" s="16"/>
    </row>
    <row r="209" spans="27:29" x14ac:dyDescent="0.25">
      <c r="AA209" s="16"/>
      <c r="AB209" s="16"/>
      <c r="AC209" s="16"/>
    </row>
    <row r="210" spans="27:29" x14ac:dyDescent="0.25">
      <c r="AA210" s="16"/>
      <c r="AB210" s="16"/>
      <c r="AC210" s="16"/>
    </row>
    <row r="211" spans="27:29" x14ac:dyDescent="0.25">
      <c r="AA211" s="16"/>
      <c r="AB211" s="16"/>
      <c r="AC211" s="16"/>
    </row>
    <row r="212" spans="27:29" x14ac:dyDescent="0.25">
      <c r="AA212" s="16"/>
      <c r="AB212" s="16"/>
      <c r="AC212" s="16"/>
    </row>
    <row r="213" spans="27:29" x14ac:dyDescent="0.25">
      <c r="AA213" s="16"/>
      <c r="AB213" s="16"/>
      <c r="AC213" s="16"/>
    </row>
    <row r="214" spans="27:29" x14ac:dyDescent="0.25">
      <c r="AA214" s="16"/>
      <c r="AB214" s="16"/>
      <c r="AC214" s="16"/>
    </row>
    <row r="215" spans="27:29" x14ac:dyDescent="0.25">
      <c r="AA215" s="16"/>
      <c r="AB215" s="16"/>
      <c r="AC215" s="16"/>
    </row>
    <row r="216" spans="27:29" x14ac:dyDescent="0.25">
      <c r="AA216" s="16"/>
      <c r="AB216" s="16"/>
      <c r="AC216" s="16"/>
    </row>
    <row r="217" spans="27:29" x14ac:dyDescent="0.25">
      <c r="AA217" s="16"/>
      <c r="AB217" s="16"/>
      <c r="AC217" s="16"/>
    </row>
    <row r="218" spans="27:29" x14ac:dyDescent="0.25">
      <c r="AA218" s="16"/>
      <c r="AB218" s="16"/>
      <c r="AC218" s="16"/>
    </row>
    <row r="219" spans="27:29" x14ac:dyDescent="0.25">
      <c r="AA219" s="16"/>
      <c r="AB219" s="16"/>
      <c r="AC219" s="16"/>
    </row>
    <row r="220" spans="27:29" x14ac:dyDescent="0.25">
      <c r="AA220" s="16"/>
      <c r="AB220" s="16"/>
      <c r="AC220" s="16"/>
    </row>
    <row r="221" spans="27:29" x14ac:dyDescent="0.25">
      <c r="AA221" s="16"/>
      <c r="AB221" s="16"/>
      <c r="AC221" s="16"/>
    </row>
    <row r="222" spans="27:29" x14ac:dyDescent="0.25">
      <c r="AA222" s="16"/>
      <c r="AB222" s="16"/>
      <c r="AC222" s="16"/>
    </row>
    <row r="223" spans="27:29" x14ac:dyDescent="0.25">
      <c r="AA223" s="16"/>
      <c r="AB223" s="16"/>
      <c r="AC223" s="16"/>
    </row>
    <row r="224" spans="27:29" x14ac:dyDescent="0.25">
      <c r="AA224" s="16"/>
      <c r="AB224" s="16"/>
      <c r="AC224" s="16"/>
    </row>
    <row r="225" spans="7:29" x14ac:dyDescent="0.25">
      <c r="AA225" s="16"/>
      <c r="AB225" s="16"/>
      <c r="AC225" s="16"/>
    </row>
    <row r="226" spans="7:29" x14ac:dyDescent="0.25">
      <c r="AA226" s="16"/>
      <c r="AB226" s="16"/>
      <c r="AC226" s="16"/>
    </row>
    <row r="227" spans="7:29" x14ac:dyDescent="0.25">
      <c r="AA227" s="16"/>
      <c r="AB227" s="16"/>
      <c r="AC227" s="16"/>
    </row>
    <row r="228" spans="7:29" x14ac:dyDescent="0.25">
      <c r="AA228" s="16"/>
      <c r="AB228" s="16"/>
      <c r="AC228" s="16"/>
    </row>
    <row r="229" spans="7:29" x14ac:dyDescent="0.25">
      <c r="AA229" s="16"/>
      <c r="AB229" s="16"/>
      <c r="AC229" s="16"/>
    </row>
    <row r="230" spans="7:29" x14ac:dyDescent="0.25">
      <c r="AA230" s="16"/>
      <c r="AB230" s="16"/>
      <c r="AC230" s="16"/>
    </row>
    <row r="231" spans="7:29" x14ac:dyDescent="0.25">
      <c r="AA231" s="16"/>
      <c r="AB231" s="16"/>
      <c r="AC231" s="16"/>
    </row>
    <row r="232" spans="7:29" x14ac:dyDescent="0.25">
      <c r="AA232" s="16"/>
      <c r="AB232" s="16"/>
      <c r="AC232" s="16"/>
    </row>
    <row r="233" spans="7:29" x14ac:dyDescent="0.25">
      <c r="AA233" s="16"/>
      <c r="AB233" s="16"/>
      <c r="AC233" s="16"/>
    </row>
    <row r="234" spans="7:29" x14ac:dyDescent="0.25">
      <c r="AA234" s="16"/>
      <c r="AB234" s="16"/>
      <c r="AC234" s="16"/>
    </row>
    <row r="235" spans="7:29" x14ac:dyDescent="0.25">
      <c r="AA235" s="16"/>
      <c r="AB235" s="16"/>
      <c r="AC235" s="16"/>
    </row>
    <row r="236" spans="7:29" x14ac:dyDescent="0.25">
      <c r="AA236" s="16"/>
      <c r="AB236" s="16"/>
      <c r="AC236" s="16"/>
    </row>
    <row r="237" spans="7:29" x14ac:dyDescent="0.25">
      <c r="AA237" s="16"/>
      <c r="AB237" s="16"/>
      <c r="AC237" s="16"/>
    </row>
    <row r="238" spans="7:29" x14ac:dyDescent="0.25"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R238" s="16"/>
      <c r="T238" s="16"/>
      <c r="U238" s="16"/>
      <c r="V238" s="16"/>
      <c r="W238" s="16"/>
      <c r="X238" s="16"/>
      <c r="Z238" s="16"/>
      <c r="AA238" s="16"/>
      <c r="AB238" s="16"/>
      <c r="AC238" s="16"/>
    </row>
    <row r="239" spans="7:29" x14ac:dyDescent="0.25"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R239" s="16"/>
      <c r="T239" s="16"/>
      <c r="U239" s="16"/>
      <c r="V239" s="16"/>
      <c r="W239" s="16"/>
      <c r="X239" s="16"/>
      <c r="Z239" s="16"/>
      <c r="AA239" s="16"/>
      <c r="AB239" s="16"/>
      <c r="AC239" s="16"/>
    </row>
    <row r="240" spans="7:29" x14ac:dyDescent="0.25"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R240" s="16"/>
      <c r="T240" s="16"/>
      <c r="U240" s="16"/>
      <c r="V240" s="16"/>
      <c r="W240" s="16"/>
      <c r="X240" s="16"/>
      <c r="Z240" s="16"/>
      <c r="AA240" s="16"/>
      <c r="AB240" s="16"/>
      <c r="AC240" s="16"/>
    </row>
    <row r="241" spans="7:29" x14ac:dyDescent="0.25"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R241" s="16"/>
      <c r="T241" s="16"/>
      <c r="U241" s="16"/>
      <c r="V241" s="16"/>
      <c r="W241" s="16"/>
      <c r="X241" s="16"/>
      <c r="Z241" s="16"/>
      <c r="AA241" s="16"/>
      <c r="AB241" s="16"/>
      <c r="AC241" s="16"/>
    </row>
    <row r="242" spans="7:29" x14ac:dyDescent="0.25"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R242" s="16"/>
      <c r="T242" s="16"/>
      <c r="U242" s="16"/>
      <c r="V242" s="16"/>
      <c r="W242" s="16"/>
      <c r="X242" s="16"/>
      <c r="Z242" s="16"/>
      <c r="AA242" s="16"/>
      <c r="AB242" s="16"/>
      <c r="AC242" s="16"/>
    </row>
    <row r="243" spans="7:29" x14ac:dyDescent="0.25"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R243" s="16"/>
      <c r="T243" s="16"/>
      <c r="U243" s="16"/>
      <c r="V243" s="16"/>
      <c r="W243" s="16"/>
      <c r="X243" s="16"/>
      <c r="Z243" s="16"/>
      <c r="AA243" s="16"/>
      <c r="AB243" s="16"/>
      <c r="AC243" s="16"/>
    </row>
    <row r="244" spans="7:29" x14ac:dyDescent="0.25"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R244" s="16"/>
      <c r="T244" s="16"/>
      <c r="U244" s="16"/>
      <c r="V244" s="16"/>
      <c r="W244" s="16"/>
      <c r="X244" s="16"/>
      <c r="Z244" s="16"/>
      <c r="AA244" s="16"/>
      <c r="AB244" s="16"/>
      <c r="AC244" s="16"/>
    </row>
    <row r="245" spans="7:29" x14ac:dyDescent="0.25"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R245" s="16"/>
      <c r="T245" s="16"/>
      <c r="U245" s="16"/>
      <c r="V245" s="16"/>
      <c r="W245" s="16"/>
      <c r="X245" s="16"/>
      <c r="Z245" s="16"/>
      <c r="AA245" s="16"/>
      <c r="AB245" s="16"/>
      <c r="AC245" s="16"/>
    </row>
    <row r="246" spans="7:29" x14ac:dyDescent="0.25"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R246" s="16"/>
      <c r="T246" s="16"/>
      <c r="U246" s="16"/>
      <c r="V246" s="16"/>
      <c r="W246" s="16"/>
      <c r="X246" s="16"/>
      <c r="Z246" s="16"/>
      <c r="AA246" s="16"/>
      <c r="AB246" s="16"/>
      <c r="AC246" s="16"/>
    </row>
    <row r="247" spans="7:29" x14ac:dyDescent="0.25"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R247" s="16"/>
      <c r="T247" s="16"/>
      <c r="U247" s="16"/>
      <c r="V247" s="16"/>
      <c r="W247" s="16"/>
      <c r="X247" s="16"/>
      <c r="Z247" s="16"/>
      <c r="AA247" s="16"/>
      <c r="AB247" s="16"/>
      <c r="AC247" s="16"/>
    </row>
    <row r="248" spans="7:29" x14ac:dyDescent="0.25"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R248" s="16"/>
      <c r="T248" s="16"/>
      <c r="U248" s="16"/>
      <c r="V248" s="16"/>
      <c r="W248" s="16"/>
      <c r="X248" s="16"/>
      <c r="Z248" s="16"/>
      <c r="AA248" s="16"/>
      <c r="AB248" s="16"/>
      <c r="AC248" s="16"/>
    </row>
    <row r="249" spans="7:29" x14ac:dyDescent="0.25"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R249" s="16"/>
      <c r="T249" s="16"/>
      <c r="U249" s="16"/>
      <c r="V249" s="16"/>
      <c r="W249" s="16"/>
      <c r="X249" s="16"/>
      <c r="Z249" s="16"/>
      <c r="AA249" s="16"/>
      <c r="AB249" s="16"/>
      <c r="AC249" s="16"/>
    </row>
    <row r="250" spans="7:29" x14ac:dyDescent="0.25"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R250" s="16"/>
      <c r="T250" s="16"/>
      <c r="U250" s="16"/>
      <c r="V250" s="16"/>
      <c r="W250" s="16"/>
      <c r="X250" s="16"/>
      <c r="Z250" s="16"/>
      <c r="AA250" s="16"/>
      <c r="AB250" s="16"/>
      <c r="AC250" s="16"/>
    </row>
    <row r="251" spans="7:29" x14ac:dyDescent="0.25"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R251" s="16"/>
      <c r="T251" s="16"/>
      <c r="U251" s="16"/>
      <c r="V251" s="16"/>
      <c r="W251" s="16"/>
      <c r="X251" s="16"/>
      <c r="Z251" s="16"/>
      <c r="AA251" s="16"/>
      <c r="AB251" s="16"/>
      <c r="AC251" s="16"/>
    </row>
    <row r="252" spans="7:29" x14ac:dyDescent="0.25"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R252" s="16"/>
      <c r="T252" s="16"/>
      <c r="U252" s="16"/>
      <c r="V252" s="16"/>
      <c r="W252" s="16"/>
      <c r="X252" s="16"/>
      <c r="Z252" s="16"/>
      <c r="AA252" s="16"/>
      <c r="AB252" s="16"/>
      <c r="AC252" s="16"/>
    </row>
    <row r="253" spans="7:29" x14ac:dyDescent="0.25"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R253" s="16"/>
      <c r="T253" s="16"/>
      <c r="U253" s="16"/>
      <c r="V253" s="16"/>
      <c r="W253" s="16"/>
      <c r="X253" s="16"/>
      <c r="Z253" s="16"/>
      <c r="AA253" s="16"/>
      <c r="AB253" s="16"/>
      <c r="AC253" s="16"/>
    </row>
    <row r="254" spans="7:29" x14ac:dyDescent="0.25"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R254" s="16"/>
      <c r="T254" s="16"/>
      <c r="U254" s="16"/>
      <c r="V254" s="16"/>
      <c r="W254" s="16"/>
      <c r="X254" s="16"/>
      <c r="Z254" s="16"/>
      <c r="AA254" s="16"/>
      <c r="AB254" s="16"/>
      <c r="AC254" s="16"/>
    </row>
    <row r="255" spans="7:29" x14ac:dyDescent="0.25"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R255" s="16"/>
      <c r="T255" s="16"/>
      <c r="U255" s="16"/>
      <c r="V255" s="16"/>
      <c r="W255" s="16"/>
      <c r="X255" s="16"/>
      <c r="Z255" s="16"/>
      <c r="AA255" s="16"/>
      <c r="AB255" s="16"/>
      <c r="AC255" s="16"/>
    </row>
    <row r="256" spans="7:29" x14ac:dyDescent="0.25"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R256" s="16"/>
      <c r="T256" s="16"/>
      <c r="U256" s="16"/>
      <c r="V256" s="16"/>
      <c r="W256" s="16"/>
      <c r="X256" s="16"/>
      <c r="Z256" s="16"/>
      <c r="AA256" s="16"/>
      <c r="AB256" s="16"/>
      <c r="AC256" s="16"/>
    </row>
    <row r="257" spans="7:29" x14ac:dyDescent="0.25"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R257" s="16"/>
      <c r="T257" s="16"/>
      <c r="U257" s="16"/>
      <c r="V257" s="16"/>
      <c r="W257" s="16"/>
      <c r="X257" s="16"/>
      <c r="Z257" s="16"/>
      <c r="AA257" s="16"/>
      <c r="AB257" s="16"/>
      <c r="AC257" s="16"/>
    </row>
    <row r="258" spans="7:29" x14ac:dyDescent="0.25"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R258" s="16"/>
      <c r="T258" s="16"/>
      <c r="U258" s="16"/>
      <c r="V258" s="16"/>
      <c r="W258" s="16"/>
      <c r="X258" s="16"/>
      <c r="Z258" s="16"/>
      <c r="AA258" s="16"/>
      <c r="AB258" s="16"/>
      <c r="AC258" s="16"/>
    </row>
    <row r="259" spans="7:29" x14ac:dyDescent="0.25"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R259" s="16"/>
      <c r="T259" s="16"/>
      <c r="U259" s="16"/>
      <c r="V259" s="16"/>
      <c r="W259" s="16"/>
      <c r="X259" s="16"/>
      <c r="Z259" s="16"/>
      <c r="AA259" s="16"/>
      <c r="AB259" s="16"/>
      <c r="AC259" s="16"/>
    </row>
    <row r="260" spans="7:29" x14ac:dyDescent="0.25"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R260" s="16"/>
      <c r="T260" s="16"/>
      <c r="U260" s="16"/>
      <c r="V260" s="16"/>
      <c r="W260" s="16"/>
      <c r="X260" s="16"/>
      <c r="Z260" s="16"/>
      <c r="AA260" s="16"/>
      <c r="AB260" s="16"/>
      <c r="AC260" s="16"/>
    </row>
    <row r="261" spans="7:29" x14ac:dyDescent="0.25"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R261" s="16"/>
      <c r="T261" s="16"/>
      <c r="U261" s="16"/>
      <c r="V261" s="16"/>
      <c r="W261" s="16"/>
      <c r="X261" s="16"/>
      <c r="Z261" s="16"/>
      <c r="AA261" s="16"/>
      <c r="AB261" s="16"/>
      <c r="AC261" s="16"/>
    </row>
    <row r="262" spans="7:29" x14ac:dyDescent="0.25"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R262" s="16"/>
      <c r="T262" s="16"/>
      <c r="U262" s="16"/>
      <c r="V262" s="16"/>
      <c r="W262" s="16"/>
      <c r="X262" s="16"/>
      <c r="Z262" s="16"/>
      <c r="AA262" s="16"/>
      <c r="AB262" s="16"/>
      <c r="AC262" s="16"/>
    </row>
    <row r="263" spans="7:29" x14ac:dyDescent="0.25"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R263" s="16"/>
      <c r="T263" s="16"/>
      <c r="U263" s="16"/>
      <c r="V263" s="16"/>
      <c r="W263" s="16"/>
      <c r="X263" s="16"/>
      <c r="Z263" s="16"/>
      <c r="AA263" s="16"/>
      <c r="AB263" s="16"/>
      <c r="AC263" s="16"/>
    </row>
    <row r="264" spans="7:29" x14ac:dyDescent="0.25"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R264" s="16"/>
      <c r="T264" s="16"/>
      <c r="U264" s="16"/>
      <c r="V264" s="16"/>
      <c r="W264" s="16"/>
      <c r="X264" s="16"/>
      <c r="Z264" s="16"/>
      <c r="AA264" s="16"/>
      <c r="AB264" s="16"/>
      <c r="AC264" s="16"/>
    </row>
    <row r="265" spans="7:29" x14ac:dyDescent="0.25"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R265" s="16"/>
      <c r="T265" s="16"/>
      <c r="U265" s="16"/>
      <c r="V265" s="16"/>
      <c r="W265" s="16"/>
      <c r="X265" s="16"/>
      <c r="Z265" s="16"/>
      <c r="AA265" s="16"/>
      <c r="AB265" s="16"/>
      <c r="AC265" s="16"/>
    </row>
    <row r="266" spans="7:29" x14ac:dyDescent="0.25"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R266" s="16"/>
      <c r="T266" s="16"/>
      <c r="U266" s="16"/>
      <c r="V266" s="16"/>
      <c r="W266" s="16"/>
      <c r="X266" s="16"/>
      <c r="Z266" s="16"/>
      <c r="AA266" s="16"/>
      <c r="AB266" s="16"/>
      <c r="AC266" s="16"/>
    </row>
    <row r="267" spans="7:29" x14ac:dyDescent="0.25"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R267" s="16"/>
      <c r="T267" s="16"/>
      <c r="U267" s="16"/>
      <c r="V267" s="16"/>
      <c r="W267" s="16"/>
      <c r="X267" s="16"/>
      <c r="Z267" s="16"/>
      <c r="AA267" s="16"/>
      <c r="AB267" s="16"/>
      <c r="AC267" s="16"/>
    </row>
    <row r="268" spans="7:29" x14ac:dyDescent="0.25"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R268" s="16"/>
      <c r="T268" s="16"/>
      <c r="U268" s="16"/>
      <c r="V268" s="16"/>
      <c r="W268" s="16"/>
      <c r="X268" s="16"/>
      <c r="Z268" s="16"/>
      <c r="AA268" s="16"/>
      <c r="AB268" s="16"/>
      <c r="AC268" s="16"/>
    </row>
    <row r="269" spans="7:29" x14ac:dyDescent="0.25"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R269" s="16"/>
      <c r="T269" s="16"/>
      <c r="U269" s="16"/>
      <c r="V269" s="16"/>
      <c r="W269" s="16"/>
      <c r="X269" s="16"/>
      <c r="Z269" s="16"/>
      <c r="AA269" s="16"/>
      <c r="AB269" s="16"/>
      <c r="AC269" s="16"/>
    </row>
    <row r="270" spans="7:29" x14ac:dyDescent="0.25"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R270" s="16"/>
      <c r="T270" s="16"/>
      <c r="U270" s="16"/>
      <c r="V270" s="16"/>
      <c r="W270" s="16"/>
      <c r="X270" s="16"/>
      <c r="Z270" s="16"/>
      <c r="AA270" s="16"/>
      <c r="AB270" s="16"/>
      <c r="AC270" s="16"/>
    </row>
    <row r="271" spans="7:29" x14ac:dyDescent="0.25"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R271" s="16"/>
      <c r="T271" s="16"/>
      <c r="U271" s="16"/>
      <c r="V271" s="16"/>
      <c r="W271" s="16"/>
      <c r="X271" s="16"/>
      <c r="Z271" s="16"/>
      <c r="AA271" s="16"/>
      <c r="AB271" s="16"/>
      <c r="AC271" s="16"/>
    </row>
    <row r="272" spans="7:29" x14ac:dyDescent="0.25"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R272" s="16"/>
      <c r="T272" s="16"/>
      <c r="U272" s="16"/>
      <c r="V272" s="16"/>
      <c r="W272" s="16"/>
      <c r="X272" s="16"/>
      <c r="Z272" s="16"/>
      <c r="AA272" s="16"/>
      <c r="AB272" s="16"/>
      <c r="AC272" s="16"/>
    </row>
    <row r="273" spans="7:29" x14ac:dyDescent="0.25"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R273" s="16"/>
      <c r="T273" s="16"/>
      <c r="U273" s="16"/>
      <c r="V273" s="16"/>
      <c r="W273" s="16"/>
      <c r="X273" s="16"/>
      <c r="Z273" s="16"/>
      <c r="AA273" s="16"/>
      <c r="AB273" s="16"/>
      <c r="AC273" s="16"/>
    </row>
    <row r="274" spans="7:29" x14ac:dyDescent="0.25"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R274" s="16"/>
      <c r="T274" s="16"/>
      <c r="U274" s="16"/>
      <c r="V274" s="16"/>
      <c r="W274" s="16"/>
      <c r="X274" s="16"/>
      <c r="Z274" s="16"/>
      <c r="AA274" s="16"/>
      <c r="AB274" s="16"/>
      <c r="AC274" s="16"/>
    </row>
    <row r="275" spans="7:29" x14ac:dyDescent="0.25"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T275" s="16"/>
      <c r="U275" s="16"/>
      <c r="V275" s="16"/>
      <c r="W275" s="16"/>
      <c r="X275" s="16"/>
      <c r="Z275" s="16"/>
      <c r="AA275" s="16"/>
      <c r="AB275" s="16"/>
      <c r="AC275" s="16"/>
    </row>
    <row r="276" spans="7:29" x14ac:dyDescent="0.25"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T276" s="16"/>
      <c r="U276" s="16"/>
      <c r="V276" s="16"/>
      <c r="W276" s="16"/>
      <c r="X276" s="16"/>
      <c r="Z276" s="16"/>
      <c r="AA276" s="16"/>
      <c r="AB276" s="16"/>
      <c r="AC276" s="16"/>
    </row>
    <row r="277" spans="7:29" x14ac:dyDescent="0.25"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T277" s="16"/>
      <c r="U277" s="16"/>
      <c r="V277" s="16"/>
      <c r="W277" s="16"/>
      <c r="X277" s="16"/>
      <c r="Z277" s="16"/>
      <c r="AA277" s="16"/>
      <c r="AB277" s="16"/>
      <c r="AC277" s="16"/>
    </row>
    <row r="278" spans="7:29" x14ac:dyDescent="0.25"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T278" s="16"/>
      <c r="U278" s="16"/>
      <c r="V278" s="16"/>
      <c r="W278" s="16"/>
      <c r="X278" s="16"/>
      <c r="Z278" s="16"/>
      <c r="AA278" s="16"/>
      <c r="AB278" s="16"/>
      <c r="AC278" s="16"/>
    </row>
    <row r="279" spans="7:29" x14ac:dyDescent="0.25"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T279" s="16"/>
      <c r="U279" s="16"/>
      <c r="V279" s="16"/>
      <c r="W279" s="16"/>
      <c r="X279" s="16"/>
      <c r="Z279" s="16"/>
      <c r="AA279" s="16"/>
      <c r="AB279" s="16"/>
      <c r="AC279" s="16"/>
    </row>
    <row r="280" spans="7:29" x14ac:dyDescent="0.25"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T280" s="16"/>
      <c r="U280" s="16"/>
      <c r="V280" s="16"/>
      <c r="W280" s="16"/>
      <c r="X280" s="16"/>
      <c r="Z280" s="16"/>
      <c r="AA280" s="16"/>
      <c r="AB280" s="16"/>
      <c r="AC280" s="16"/>
    </row>
    <row r="281" spans="7:29" x14ac:dyDescent="0.25"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T281" s="16"/>
      <c r="U281" s="16"/>
      <c r="V281" s="16"/>
      <c r="W281" s="16"/>
      <c r="X281" s="16"/>
      <c r="Z281" s="16"/>
      <c r="AA281" s="16"/>
      <c r="AB281" s="16"/>
      <c r="AC281" s="16"/>
    </row>
    <row r="282" spans="7:29" x14ac:dyDescent="0.25"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T282" s="16"/>
      <c r="U282" s="16"/>
      <c r="V282" s="16"/>
      <c r="W282" s="16"/>
      <c r="X282" s="16"/>
      <c r="Z282" s="16"/>
      <c r="AA282" s="16"/>
      <c r="AB282" s="16"/>
      <c r="AC282" s="16"/>
    </row>
    <row r="283" spans="7:29" x14ac:dyDescent="0.25"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T283" s="16"/>
      <c r="U283" s="16"/>
      <c r="V283" s="16"/>
      <c r="W283" s="16"/>
      <c r="X283" s="16"/>
      <c r="Z283" s="16"/>
      <c r="AA283" s="16"/>
      <c r="AB283" s="16"/>
      <c r="AC283" s="16"/>
    </row>
    <row r="284" spans="7:29" x14ac:dyDescent="0.25"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T284" s="16"/>
      <c r="U284" s="16"/>
      <c r="V284" s="16"/>
      <c r="W284" s="16"/>
      <c r="X284" s="16"/>
      <c r="Z284" s="16"/>
      <c r="AA284" s="16"/>
      <c r="AB284" s="16"/>
      <c r="AC284" s="16"/>
    </row>
    <row r="285" spans="7:29" x14ac:dyDescent="0.25"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T285" s="16"/>
      <c r="U285" s="16"/>
      <c r="V285" s="16"/>
      <c r="W285" s="16"/>
      <c r="X285" s="16"/>
      <c r="Z285" s="16"/>
      <c r="AA285" s="16"/>
      <c r="AB285" s="16"/>
      <c r="AC285" s="16"/>
    </row>
    <row r="286" spans="7:29" x14ac:dyDescent="0.25"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T286" s="16"/>
      <c r="U286" s="16"/>
      <c r="V286" s="16"/>
      <c r="W286" s="16"/>
      <c r="X286" s="16"/>
      <c r="Z286" s="16"/>
      <c r="AA286" s="16"/>
      <c r="AB286" s="16"/>
      <c r="AC286" s="16"/>
    </row>
    <row r="287" spans="7:29" x14ac:dyDescent="0.25"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T287" s="16"/>
      <c r="U287" s="16"/>
      <c r="V287" s="16"/>
      <c r="W287" s="16"/>
      <c r="X287" s="16"/>
      <c r="Z287" s="16"/>
      <c r="AA287" s="16"/>
      <c r="AB287" s="16"/>
      <c r="AC287" s="16"/>
    </row>
    <row r="288" spans="7:29" x14ac:dyDescent="0.25"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T288" s="16"/>
      <c r="U288" s="16"/>
      <c r="V288" s="16"/>
      <c r="W288" s="16"/>
      <c r="X288" s="16"/>
      <c r="Z288" s="16"/>
      <c r="AA288" s="16"/>
      <c r="AB288" s="16"/>
      <c r="AC288" s="16"/>
    </row>
    <row r="289" spans="7:29" x14ac:dyDescent="0.25"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T289" s="16"/>
      <c r="U289" s="16"/>
      <c r="V289" s="16"/>
      <c r="W289" s="16"/>
      <c r="X289" s="16"/>
      <c r="Z289" s="16"/>
      <c r="AA289" s="16"/>
      <c r="AB289" s="16"/>
      <c r="AC289" s="16"/>
    </row>
    <row r="290" spans="7:29" x14ac:dyDescent="0.25"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T290" s="16"/>
      <c r="U290" s="16"/>
      <c r="V290" s="16"/>
      <c r="W290" s="16"/>
      <c r="X290" s="16"/>
      <c r="Z290" s="16"/>
      <c r="AA290" s="16"/>
      <c r="AB290" s="16"/>
      <c r="AC290" s="16"/>
    </row>
    <row r="291" spans="7:29" x14ac:dyDescent="0.25"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T291" s="16"/>
      <c r="U291" s="16"/>
      <c r="V291" s="16"/>
      <c r="W291" s="16"/>
      <c r="X291" s="16"/>
      <c r="Z291" s="16"/>
      <c r="AA291" s="16"/>
      <c r="AB291" s="16"/>
      <c r="AC291" s="16"/>
    </row>
    <row r="292" spans="7:29" x14ac:dyDescent="0.25"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T292" s="16"/>
      <c r="U292" s="16"/>
      <c r="V292" s="16"/>
      <c r="W292" s="16"/>
      <c r="X292" s="16"/>
      <c r="Z292" s="16"/>
      <c r="AA292" s="16"/>
      <c r="AB292" s="16"/>
      <c r="AC292" s="16"/>
    </row>
    <row r="293" spans="7:29" x14ac:dyDescent="0.25"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T293" s="16"/>
      <c r="U293" s="16"/>
      <c r="V293" s="16"/>
      <c r="W293" s="16"/>
      <c r="X293" s="16"/>
      <c r="Z293" s="16"/>
      <c r="AA293" s="16"/>
      <c r="AB293" s="16"/>
      <c r="AC293" s="16"/>
    </row>
    <row r="294" spans="7:29" x14ac:dyDescent="0.25"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T294" s="16"/>
      <c r="U294" s="16"/>
      <c r="V294" s="16"/>
      <c r="W294" s="16"/>
      <c r="X294" s="16"/>
      <c r="Z294" s="16"/>
      <c r="AA294" s="16"/>
      <c r="AB294" s="16"/>
      <c r="AC294" s="16"/>
    </row>
    <row r="295" spans="7:29" x14ac:dyDescent="0.25"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T295" s="16"/>
      <c r="U295" s="16"/>
      <c r="V295" s="16"/>
      <c r="W295" s="16"/>
      <c r="X295" s="16"/>
      <c r="Z295" s="16"/>
      <c r="AA295" s="16"/>
      <c r="AB295" s="16"/>
      <c r="AC295" s="16"/>
    </row>
    <row r="296" spans="7:29" x14ac:dyDescent="0.25"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T296" s="16"/>
      <c r="U296" s="16"/>
      <c r="V296" s="16"/>
      <c r="W296" s="16"/>
      <c r="X296" s="16"/>
      <c r="Z296" s="16"/>
      <c r="AA296" s="16"/>
      <c r="AB296" s="16"/>
      <c r="AC296" s="16"/>
    </row>
    <row r="297" spans="7:29" x14ac:dyDescent="0.25"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T297" s="16"/>
      <c r="U297" s="16"/>
      <c r="V297" s="16"/>
      <c r="W297" s="16"/>
      <c r="X297" s="16"/>
      <c r="Z297" s="16"/>
      <c r="AA297" s="16"/>
      <c r="AB297" s="16"/>
      <c r="AC297" s="16"/>
    </row>
    <row r="298" spans="7:29" x14ac:dyDescent="0.25"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T298" s="16"/>
      <c r="U298" s="16"/>
      <c r="V298" s="16"/>
      <c r="W298" s="16"/>
      <c r="X298" s="16"/>
      <c r="Z298" s="16"/>
      <c r="AA298" s="16"/>
      <c r="AB298" s="16"/>
      <c r="AC298" s="16"/>
    </row>
    <row r="299" spans="7:29" x14ac:dyDescent="0.25"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T299" s="16"/>
      <c r="U299" s="16"/>
      <c r="V299" s="16"/>
      <c r="W299" s="16"/>
      <c r="X299" s="16"/>
      <c r="Z299" s="16"/>
      <c r="AA299" s="16"/>
      <c r="AB299" s="16"/>
      <c r="AC299" s="16"/>
    </row>
    <row r="300" spans="7:29" x14ac:dyDescent="0.25"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T300" s="16"/>
      <c r="U300" s="16"/>
      <c r="V300" s="16"/>
      <c r="W300" s="16"/>
      <c r="X300" s="16"/>
      <c r="Z300" s="16"/>
      <c r="AA300" s="16"/>
      <c r="AB300" s="16"/>
      <c r="AC300" s="16"/>
    </row>
    <row r="301" spans="7:29" x14ac:dyDescent="0.25"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T301" s="16"/>
      <c r="U301" s="16"/>
      <c r="V301" s="16"/>
      <c r="W301" s="16"/>
      <c r="X301" s="16"/>
      <c r="Z301" s="16"/>
      <c r="AA301" s="16"/>
      <c r="AB301" s="16"/>
      <c r="AC301" s="16"/>
    </row>
    <row r="302" spans="7:29" x14ac:dyDescent="0.25"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T302" s="16"/>
      <c r="U302" s="16"/>
      <c r="V302" s="16"/>
      <c r="W302" s="16"/>
      <c r="X302" s="16"/>
      <c r="Z302" s="16"/>
      <c r="AA302" s="16"/>
      <c r="AB302" s="16"/>
      <c r="AC302" s="16"/>
    </row>
    <row r="303" spans="7:29" x14ac:dyDescent="0.25"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T303" s="16"/>
      <c r="U303" s="16"/>
      <c r="V303" s="16"/>
      <c r="W303" s="16"/>
      <c r="X303" s="16"/>
      <c r="Z303" s="16"/>
      <c r="AA303" s="16"/>
      <c r="AB303" s="16"/>
      <c r="AC303" s="16"/>
    </row>
    <row r="304" spans="7:29" x14ac:dyDescent="0.25"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T304" s="16"/>
      <c r="U304" s="16"/>
      <c r="V304" s="16"/>
      <c r="W304" s="16"/>
      <c r="X304" s="16"/>
      <c r="Z304" s="16"/>
      <c r="AA304" s="16"/>
      <c r="AB304" s="16"/>
      <c r="AC304" s="16"/>
    </row>
    <row r="305" spans="7:29" x14ac:dyDescent="0.25"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T305" s="16"/>
      <c r="U305" s="16"/>
      <c r="V305" s="16"/>
      <c r="W305" s="16"/>
      <c r="X305" s="16"/>
      <c r="Z305" s="16"/>
      <c r="AA305" s="16"/>
      <c r="AB305" s="16"/>
      <c r="AC305" s="16"/>
    </row>
    <row r="306" spans="7:29" x14ac:dyDescent="0.25"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T306" s="16"/>
      <c r="U306" s="16"/>
      <c r="V306" s="16"/>
      <c r="W306" s="16"/>
      <c r="X306" s="16"/>
      <c r="Z306" s="16"/>
      <c r="AA306" s="16"/>
      <c r="AB306" s="16"/>
      <c r="AC306" s="16"/>
    </row>
    <row r="307" spans="7:29" x14ac:dyDescent="0.25"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T307" s="16"/>
      <c r="U307" s="16"/>
      <c r="V307" s="16"/>
      <c r="W307" s="16"/>
      <c r="X307" s="16"/>
      <c r="Z307" s="16"/>
      <c r="AA307" s="16"/>
      <c r="AB307" s="16"/>
      <c r="AC307" s="16"/>
    </row>
    <row r="308" spans="7:29" x14ac:dyDescent="0.25"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T308" s="16"/>
      <c r="U308" s="16"/>
      <c r="V308" s="16"/>
      <c r="W308" s="16"/>
      <c r="X308" s="16"/>
      <c r="Z308" s="16"/>
      <c r="AA308" s="16"/>
      <c r="AB308" s="16"/>
      <c r="AC308" s="16"/>
    </row>
    <row r="309" spans="7:29" x14ac:dyDescent="0.25"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T309" s="16"/>
      <c r="U309" s="16"/>
      <c r="V309" s="16"/>
      <c r="W309" s="16"/>
      <c r="X309" s="16"/>
      <c r="Z309" s="16"/>
      <c r="AA309" s="16"/>
      <c r="AB309" s="16"/>
      <c r="AC309" s="16"/>
    </row>
    <row r="310" spans="7:29" x14ac:dyDescent="0.25"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T310" s="16"/>
      <c r="U310" s="16"/>
      <c r="V310" s="16"/>
      <c r="W310" s="16"/>
      <c r="X310" s="16"/>
      <c r="Z310" s="16"/>
      <c r="AA310" s="16"/>
      <c r="AB310" s="16"/>
      <c r="AC310" s="16"/>
    </row>
    <row r="311" spans="7:29" x14ac:dyDescent="0.25"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T311" s="16"/>
      <c r="U311" s="16"/>
      <c r="V311" s="16"/>
      <c r="W311" s="16"/>
      <c r="X311" s="16"/>
      <c r="Z311" s="16"/>
      <c r="AA311" s="16"/>
      <c r="AB311" s="16"/>
      <c r="AC311" s="16"/>
    </row>
    <row r="312" spans="7:29" x14ac:dyDescent="0.25"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T312" s="16"/>
      <c r="U312" s="16"/>
      <c r="V312" s="16"/>
      <c r="W312" s="16"/>
      <c r="X312" s="16"/>
      <c r="Z312" s="16"/>
      <c r="AA312" s="16"/>
      <c r="AB312" s="16"/>
      <c r="AC312" s="16"/>
    </row>
    <row r="313" spans="7:29" x14ac:dyDescent="0.25"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T313" s="16"/>
      <c r="U313" s="16"/>
      <c r="V313" s="16"/>
      <c r="W313" s="16"/>
      <c r="X313" s="16"/>
      <c r="Z313" s="16"/>
      <c r="AA313" s="16"/>
      <c r="AB313" s="16"/>
      <c r="AC313" s="16"/>
    </row>
    <row r="314" spans="7:29" x14ac:dyDescent="0.25"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T314" s="16"/>
      <c r="U314" s="16"/>
      <c r="V314" s="16"/>
      <c r="W314" s="16"/>
      <c r="X314" s="16"/>
      <c r="Z314" s="16"/>
      <c r="AA314" s="16"/>
      <c r="AB314" s="16"/>
      <c r="AC314" s="16"/>
    </row>
    <row r="315" spans="7:29" x14ac:dyDescent="0.25"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T315" s="16"/>
      <c r="U315" s="16"/>
      <c r="V315" s="16"/>
      <c r="W315" s="16"/>
      <c r="X315" s="16"/>
      <c r="Z315" s="16"/>
      <c r="AA315" s="16"/>
      <c r="AB315" s="16"/>
      <c r="AC315" s="16"/>
    </row>
    <row r="316" spans="7:29" x14ac:dyDescent="0.25"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T316" s="16"/>
      <c r="U316" s="16"/>
      <c r="V316" s="16"/>
      <c r="W316" s="16"/>
      <c r="X316" s="16"/>
      <c r="Z316" s="16"/>
      <c r="AA316" s="16"/>
      <c r="AB316" s="16"/>
      <c r="AC316" s="16"/>
    </row>
    <row r="317" spans="7:29" x14ac:dyDescent="0.25"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T317" s="16"/>
      <c r="U317" s="16"/>
      <c r="V317" s="16"/>
      <c r="W317" s="16"/>
      <c r="X317" s="16"/>
      <c r="Z317" s="16"/>
      <c r="AA317" s="16"/>
      <c r="AB317" s="16"/>
      <c r="AC317" s="16"/>
    </row>
    <row r="318" spans="7:29" x14ac:dyDescent="0.25"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T318" s="16"/>
      <c r="U318" s="16"/>
      <c r="V318" s="16"/>
      <c r="W318" s="16"/>
      <c r="X318" s="16"/>
      <c r="Z318" s="16"/>
      <c r="AA318" s="16"/>
      <c r="AB318" s="16"/>
      <c r="AC318" s="16"/>
    </row>
    <row r="319" spans="7:29" x14ac:dyDescent="0.25"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T319" s="16"/>
      <c r="U319" s="16"/>
      <c r="V319" s="16"/>
      <c r="W319" s="16"/>
      <c r="X319" s="16"/>
      <c r="Z319" s="16"/>
      <c r="AA319" s="16"/>
      <c r="AB319" s="16"/>
      <c r="AC319" s="16"/>
    </row>
    <row r="320" spans="7:29" x14ac:dyDescent="0.25"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T320" s="16"/>
      <c r="U320" s="16"/>
      <c r="V320" s="16"/>
      <c r="W320" s="16"/>
      <c r="X320" s="16"/>
      <c r="Z320" s="16"/>
      <c r="AA320" s="16"/>
      <c r="AB320" s="16"/>
      <c r="AC320" s="16"/>
    </row>
    <row r="321" spans="7:29" x14ac:dyDescent="0.25"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T321" s="16"/>
      <c r="U321" s="16"/>
      <c r="V321" s="16"/>
      <c r="W321" s="16"/>
      <c r="X321" s="16"/>
      <c r="Z321" s="16"/>
      <c r="AA321" s="16"/>
      <c r="AB321" s="16"/>
      <c r="AC321" s="16"/>
    </row>
    <row r="322" spans="7:29" x14ac:dyDescent="0.25"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T322" s="16"/>
      <c r="U322" s="16"/>
      <c r="V322" s="16"/>
      <c r="W322" s="16"/>
      <c r="X322" s="16"/>
      <c r="Z322" s="16"/>
      <c r="AA322" s="16"/>
      <c r="AB322" s="16"/>
      <c r="AC322" s="16"/>
    </row>
    <row r="323" spans="7:29" x14ac:dyDescent="0.25"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T323" s="16"/>
      <c r="U323" s="16"/>
      <c r="V323" s="16"/>
      <c r="W323" s="16"/>
      <c r="X323" s="16"/>
      <c r="Z323" s="16"/>
      <c r="AA323" s="16"/>
      <c r="AB323" s="16"/>
      <c r="AC323" s="16"/>
    </row>
    <row r="324" spans="7:29" x14ac:dyDescent="0.25"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T324" s="16"/>
      <c r="U324" s="16"/>
      <c r="V324" s="16"/>
      <c r="W324" s="16"/>
      <c r="X324" s="16"/>
      <c r="Z324" s="16"/>
      <c r="AA324" s="16"/>
      <c r="AB324" s="16"/>
      <c r="AC324" s="16"/>
    </row>
    <row r="325" spans="7:29" x14ac:dyDescent="0.25"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T325" s="16"/>
      <c r="U325" s="16"/>
      <c r="V325" s="16"/>
      <c r="W325" s="16"/>
      <c r="X325" s="16"/>
      <c r="Z325" s="16"/>
      <c r="AA325" s="16"/>
      <c r="AB325" s="16"/>
      <c r="AC325" s="16"/>
    </row>
    <row r="326" spans="7:29" x14ac:dyDescent="0.25"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T326" s="16"/>
      <c r="U326" s="16"/>
      <c r="V326" s="16"/>
      <c r="W326" s="16"/>
      <c r="X326" s="16"/>
      <c r="Z326" s="16"/>
      <c r="AA326" s="16"/>
      <c r="AB326" s="16"/>
      <c r="AC326" s="16"/>
    </row>
    <row r="327" spans="7:29" x14ac:dyDescent="0.25"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T327" s="16"/>
      <c r="U327" s="16"/>
      <c r="V327" s="16"/>
      <c r="W327" s="16"/>
      <c r="X327" s="16"/>
      <c r="Z327" s="16"/>
      <c r="AA327" s="16"/>
      <c r="AB327" s="16"/>
      <c r="AC327" s="16"/>
    </row>
    <row r="328" spans="7:29" x14ac:dyDescent="0.25"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T328" s="16"/>
      <c r="U328" s="16"/>
      <c r="V328" s="16"/>
      <c r="W328" s="16"/>
      <c r="X328" s="16"/>
      <c r="Z328" s="16"/>
      <c r="AA328" s="16"/>
      <c r="AB328" s="16"/>
      <c r="AC328" s="16"/>
    </row>
    <row r="329" spans="7:29" x14ac:dyDescent="0.25"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T329" s="16"/>
      <c r="U329" s="16"/>
      <c r="V329" s="16"/>
      <c r="W329" s="16"/>
      <c r="X329" s="16"/>
      <c r="Z329" s="16"/>
      <c r="AA329" s="16"/>
      <c r="AB329" s="16"/>
      <c r="AC329" s="16"/>
    </row>
    <row r="330" spans="7:29" x14ac:dyDescent="0.25"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T330" s="16"/>
      <c r="U330" s="16"/>
      <c r="V330" s="16"/>
      <c r="W330" s="16"/>
      <c r="X330" s="16"/>
      <c r="Z330" s="16"/>
      <c r="AA330" s="16"/>
      <c r="AB330" s="16"/>
      <c r="AC330" s="16"/>
    </row>
  </sheetData>
  <mergeCells count="2">
    <mergeCell ref="C17:N17"/>
    <mergeCell ref="P17:AA17"/>
  </mergeCells>
  <phoneticPr fontId="0" type="noConversion"/>
  <printOptions horizontalCentered="1"/>
  <pageMargins left="1" right="1" top="1" bottom="1" header="0.5" footer="0.5"/>
  <pageSetup scale="61" orientation="landscape" r:id="rId1"/>
  <headerFooter alignWithMargins="0">
    <oddHeader>&amp;RKY PSC Case No. 2016-0016
Attachment A to PSC 3-3(b)</oddHeader>
  </headerFooter>
  <rowBreaks count="4" manualBreakCount="4">
    <brk id="37" max="26" man="1"/>
    <brk id="165" max="65535" man="1"/>
    <brk id="207" max="65535" man="1"/>
    <brk id="268" max="65535" man="1"/>
  </rowBreaks>
  <colBreaks count="1" manualBreakCount="1">
    <brk id="14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6">
    <pageSetUpPr fitToPage="1"/>
  </sheetPr>
  <dimension ref="A1:Y638"/>
  <sheetViews>
    <sheetView zoomScaleNormal="100" zoomScaleSheetLayoutView="90" workbookViewId="0">
      <selection sqref="A1:P1"/>
    </sheetView>
  </sheetViews>
  <sheetFormatPr defaultColWidth="10" defaultRowHeight="10.199999999999999" x14ac:dyDescent="0.2"/>
  <cols>
    <col min="1" max="1" width="7" style="259" customWidth="1"/>
    <col min="2" max="2" width="27.6640625" style="222" customWidth="1"/>
    <col min="3" max="3" width="6.83203125" style="222" bestFit="1" customWidth="1"/>
    <col min="4" max="5" width="14.6640625" style="302" bestFit="1" customWidth="1"/>
    <col min="6" max="9" width="12.6640625" style="302" bestFit="1" customWidth="1"/>
    <col min="10" max="12" width="11.33203125" style="302" bestFit="1" customWidth="1"/>
    <col min="13" max="15" width="12.6640625" style="302" bestFit="1" customWidth="1"/>
    <col min="16" max="16" width="15.83203125" style="302" customWidth="1"/>
    <col min="17" max="17" width="2" style="222" customWidth="1"/>
    <col min="18" max="18" width="15.1640625" style="222" customWidth="1"/>
    <col min="19" max="19" width="15.6640625" style="222" bestFit="1" customWidth="1"/>
    <col min="20" max="21" width="11.1640625" style="222" bestFit="1" customWidth="1"/>
    <col min="22" max="22" width="11.33203125" style="222" bestFit="1" customWidth="1"/>
    <col min="23" max="23" width="11.1640625" style="222" bestFit="1" customWidth="1"/>
    <col min="24" max="24" width="11.6640625" style="222" bestFit="1" customWidth="1"/>
    <col min="25" max="25" width="10" style="222"/>
    <col min="26" max="26" width="11.1640625" style="222" bestFit="1" customWidth="1"/>
    <col min="27" max="30" width="10" style="222"/>
    <col min="31" max="31" width="11.1640625" style="222" bestFit="1" customWidth="1"/>
    <col min="32" max="16384" width="10" style="222"/>
  </cols>
  <sheetData>
    <row r="1" spans="1:25" x14ac:dyDescent="0.2">
      <c r="A1" s="978" t="s">
        <v>36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</row>
    <row r="2" spans="1:25" x14ac:dyDescent="0.2">
      <c r="A2" s="978" t="s">
        <v>358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</row>
    <row r="3" spans="1:25" x14ac:dyDescent="0.2">
      <c r="A3" s="977" t="s">
        <v>408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</row>
    <row r="4" spans="1:25" x14ac:dyDescent="0.2">
      <c r="B4" s="578"/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</row>
    <row r="5" spans="1:25" s="219" customFormat="1" x14ac:dyDescent="0.2">
      <c r="A5" s="580" t="s">
        <v>529</v>
      </c>
      <c r="B5" s="410"/>
      <c r="C5" s="410"/>
      <c r="D5" s="225"/>
      <c r="E5" s="225"/>
      <c r="F5" s="302"/>
      <c r="G5" s="301"/>
      <c r="H5" s="301"/>
      <c r="I5" s="301"/>
      <c r="J5" s="301"/>
      <c r="K5" s="301"/>
      <c r="L5" s="301"/>
      <c r="M5" s="301"/>
      <c r="N5" s="301"/>
      <c r="O5" s="301"/>
      <c r="P5" s="301"/>
    </row>
    <row r="6" spans="1:25" s="219" customFormat="1" x14ac:dyDescent="0.2">
      <c r="A6" s="580" t="s">
        <v>528</v>
      </c>
      <c r="B6" s="410"/>
      <c r="C6" s="410"/>
      <c r="D6" s="225"/>
      <c r="E6" s="225"/>
      <c r="F6" s="302"/>
      <c r="G6" s="301"/>
      <c r="H6" s="301"/>
      <c r="I6" s="301"/>
      <c r="J6" s="301"/>
      <c r="K6" s="301"/>
      <c r="L6" s="301"/>
      <c r="M6" s="301"/>
      <c r="N6" s="301"/>
      <c r="O6" s="301"/>
      <c r="P6" s="301"/>
    </row>
    <row r="7" spans="1:25" s="219" customFormat="1" x14ac:dyDescent="0.2">
      <c r="A7" s="581" t="s">
        <v>63</v>
      </c>
      <c r="B7" s="410"/>
      <c r="C7" s="410"/>
      <c r="D7" s="225"/>
      <c r="E7" s="225"/>
      <c r="F7" s="302"/>
      <c r="G7" s="301"/>
      <c r="H7" s="301"/>
      <c r="I7" s="301"/>
      <c r="J7" s="301"/>
      <c r="K7" s="301"/>
      <c r="L7" s="301"/>
      <c r="M7" s="301"/>
      <c r="N7" s="301"/>
      <c r="O7" s="301"/>
      <c r="P7" s="582" t="s">
        <v>333</v>
      </c>
    </row>
    <row r="8" spans="1:25" s="219" customFormat="1" x14ac:dyDescent="0.2">
      <c r="A8" s="583" t="s">
        <v>302</v>
      </c>
      <c r="B8" s="410"/>
      <c r="C8" s="416"/>
      <c r="D8" s="584"/>
      <c r="E8" s="585"/>
      <c r="F8" s="586"/>
      <c r="G8" s="585"/>
      <c r="H8" s="587"/>
      <c r="I8" s="585"/>
      <c r="J8" s="585"/>
      <c r="K8" s="585"/>
      <c r="L8" s="585"/>
      <c r="M8" s="585"/>
      <c r="N8" s="585"/>
      <c r="O8" s="301"/>
      <c r="P8" s="588" t="s">
        <v>359</v>
      </c>
      <c r="Q8" s="224"/>
    </row>
    <row r="9" spans="1:25" x14ac:dyDescent="0.2">
      <c r="A9" s="979" t="s">
        <v>462</v>
      </c>
      <c r="B9" s="979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</row>
    <row r="10" spans="1:25" x14ac:dyDescent="0.2">
      <c r="A10" s="410" t="s">
        <v>1</v>
      </c>
      <c r="B10" s="262"/>
      <c r="C10" s="262"/>
      <c r="D10" s="433"/>
      <c r="E10" s="433"/>
      <c r="F10" s="433"/>
      <c r="G10" s="433"/>
      <c r="H10" s="433"/>
      <c r="I10" s="433"/>
      <c r="J10" s="225"/>
      <c r="K10" s="225"/>
      <c r="L10" s="225"/>
      <c r="M10" s="225"/>
      <c r="N10" s="225"/>
      <c r="O10" s="225"/>
      <c r="P10" s="225"/>
    </row>
    <row r="11" spans="1:25" x14ac:dyDescent="0.2">
      <c r="A11" s="281" t="s">
        <v>3</v>
      </c>
      <c r="B11" s="281" t="s">
        <v>4</v>
      </c>
      <c r="C11" s="281"/>
      <c r="D11" s="589" t="s">
        <v>409</v>
      </c>
      <c r="E11" s="589" t="s">
        <v>410</v>
      </c>
      <c r="F11" s="589" t="s">
        <v>411</v>
      </c>
      <c r="G11" s="589" t="s">
        <v>412</v>
      </c>
      <c r="H11" s="589" t="s">
        <v>413</v>
      </c>
      <c r="I11" s="589" t="s">
        <v>414</v>
      </c>
      <c r="J11" s="589" t="s">
        <v>415</v>
      </c>
      <c r="K11" s="589" t="s">
        <v>416</v>
      </c>
      <c r="L11" s="589" t="s">
        <v>417</v>
      </c>
      <c r="M11" s="589" t="s">
        <v>418</v>
      </c>
      <c r="N11" s="589" t="s">
        <v>419</v>
      </c>
      <c r="O11" s="589" t="s">
        <v>420</v>
      </c>
      <c r="P11" s="258" t="s">
        <v>9</v>
      </c>
    </row>
    <row r="12" spans="1:25" x14ac:dyDescent="0.2">
      <c r="A12" s="410"/>
      <c r="B12" s="229" t="s">
        <v>42</v>
      </c>
      <c r="C12" s="229"/>
      <c r="D12" s="590" t="s">
        <v>43</v>
      </c>
      <c r="E12" s="590" t="s">
        <v>45</v>
      </c>
      <c r="F12" s="591" t="s">
        <v>46</v>
      </c>
      <c r="G12" s="591" t="s">
        <v>49</v>
      </c>
      <c r="H12" s="591" t="s">
        <v>50</v>
      </c>
      <c r="I12" s="591" t="s">
        <v>51</v>
      </c>
      <c r="J12" s="591" t="s">
        <v>52</v>
      </c>
      <c r="K12" s="591" t="s">
        <v>53</v>
      </c>
      <c r="L12" s="592" t="s">
        <v>54</v>
      </c>
      <c r="M12" s="592" t="s">
        <v>55</v>
      </c>
      <c r="N12" s="592" t="s">
        <v>56</v>
      </c>
      <c r="O12" s="592" t="s">
        <v>57</v>
      </c>
      <c r="P12" s="592" t="s">
        <v>58</v>
      </c>
    </row>
    <row r="13" spans="1:25" x14ac:dyDescent="0.2">
      <c r="A13" s="410"/>
      <c r="B13" s="262"/>
      <c r="C13" s="262"/>
      <c r="D13" s="433"/>
      <c r="E13" s="433"/>
      <c r="F13" s="433"/>
      <c r="G13" s="433"/>
      <c r="H13" s="433"/>
      <c r="I13" s="433"/>
      <c r="J13" s="225"/>
      <c r="K13" s="225"/>
      <c r="L13" s="225"/>
      <c r="M13" s="225"/>
      <c r="N13" s="225"/>
      <c r="O13" s="225"/>
      <c r="P13" s="225"/>
    </row>
    <row r="14" spans="1:25" x14ac:dyDescent="0.2">
      <c r="A14" s="259">
        <v>1</v>
      </c>
      <c r="B14" s="223" t="s">
        <v>241</v>
      </c>
      <c r="J14" s="593"/>
      <c r="K14" s="593"/>
    </row>
    <row r="15" spans="1:25" x14ac:dyDescent="0.2">
      <c r="R15" s="594"/>
      <c r="S15" s="594"/>
      <c r="T15" s="594"/>
      <c r="U15" s="594"/>
      <c r="V15" s="594"/>
      <c r="Y15" s="594"/>
    </row>
    <row r="16" spans="1:25" x14ac:dyDescent="0.2">
      <c r="A16" s="259">
        <f>A14+1</f>
        <v>2</v>
      </c>
      <c r="B16" s="222" t="s">
        <v>357</v>
      </c>
      <c r="C16" s="460" t="s">
        <v>23</v>
      </c>
      <c r="D16" s="595">
        <f>2.2251-0.016</f>
        <v>2.2090999999999998</v>
      </c>
      <c r="E16" s="596">
        <f>$D$16</f>
        <v>2.2090999999999998</v>
      </c>
      <c r="F16" s="596">
        <f t="shared" ref="F16:O16" si="0">$D$16</f>
        <v>2.2090999999999998</v>
      </c>
      <c r="G16" s="596">
        <f t="shared" si="0"/>
        <v>2.2090999999999998</v>
      </c>
      <c r="H16" s="596">
        <f t="shared" si="0"/>
        <v>2.2090999999999998</v>
      </c>
      <c r="I16" s="596">
        <f t="shared" si="0"/>
        <v>2.2090999999999998</v>
      </c>
      <c r="J16" s="596">
        <f t="shared" si="0"/>
        <v>2.2090999999999998</v>
      </c>
      <c r="K16" s="596">
        <f t="shared" si="0"/>
        <v>2.2090999999999998</v>
      </c>
      <c r="L16" s="596">
        <f t="shared" si="0"/>
        <v>2.2090999999999998</v>
      </c>
      <c r="M16" s="596">
        <f t="shared" si="0"/>
        <v>2.2090999999999998</v>
      </c>
      <c r="N16" s="596">
        <f t="shared" si="0"/>
        <v>2.2090999999999998</v>
      </c>
      <c r="O16" s="596">
        <f t="shared" si="0"/>
        <v>2.2090999999999998</v>
      </c>
      <c r="P16" s="597"/>
      <c r="R16" s="598"/>
      <c r="S16" s="598"/>
      <c r="T16" s="599"/>
      <c r="U16" s="600"/>
      <c r="V16" s="242"/>
      <c r="Y16" s="600"/>
    </row>
    <row r="17" spans="1:25" ht="12" x14ac:dyDescent="0.35">
      <c r="A17" s="259">
        <f>A16+1</f>
        <v>3</v>
      </c>
      <c r="B17" s="222" t="s">
        <v>26</v>
      </c>
      <c r="C17" s="222" t="s">
        <v>22</v>
      </c>
      <c r="D17" s="601">
        <f>'C'!D17</f>
        <v>1331907.1000000001</v>
      </c>
      <c r="E17" s="601">
        <f>'C'!E17</f>
        <v>1291151.8</v>
      </c>
      <c r="F17" s="601">
        <f>'C'!F17</f>
        <v>968403</v>
      </c>
      <c r="G17" s="601">
        <f>'C'!G17</f>
        <v>552553.4</v>
      </c>
      <c r="H17" s="601">
        <f>'C'!H17</f>
        <v>259776.40000000002</v>
      </c>
      <c r="I17" s="601">
        <f>'C'!I17</f>
        <v>123911.3</v>
      </c>
      <c r="J17" s="601">
        <f>'C'!J17</f>
        <v>88930</v>
      </c>
      <c r="K17" s="601">
        <f>'C'!K17</f>
        <v>85940.7</v>
      </c>
      <c r="L17" s="601">
        <f>'C'!L17</f>
        <v>88922.9</v>
      </c>
      <c r="M17" s="601">
        <f>'C'!M17</f>
        <v>141784.29999999999</v>
      </c>
      <c r="N17" s="601">
        <f>'C'!N17</f>
        <v>408542.4</v>
      </c>
      <c r="O17" s="601">
        <f>'C'!O17</f>
        <v>906257.2</v>
      </c>
      <c r="P17" s="597">
        <f>SUM(D17:O17)</f>
        <v>6248080.5000000009</v>
      </c>
      <c r="R17" s="598"/>
      <c r="S17" s="598"/>
      <c r="T17" s="599"/>
      <c r="U17" s="600"/>
      <c r="V17" s="242"/>
      <c r="Y17" s="600"/>
    </row>
    <row r="18" spans="1:25" x14ac:dyDescent="0.2">
      <c r="A18" s="259">
        <f>A17+1</f>
        <v>4</v>
      </c>
      <c r="B18" s="222" t="s">
        <v>317</v>
      </c>
      <c r="C18" s="222" t="s">
        <v>24</v>
      </c>
      <c r="D18" s="602">
        <f>ROUND(D16*D17,2)</f>
        <v>2942315.97</v>
      </c>
      <c r="E18" s="602">
        <f t="shared" ref="E18:O18" si="1">ROUND(E16*E17,2)</f>
        <v>2852283.44</v>
      </c>
      <c r="F18" s="602">
        <f t="shared" si="1"/>
        <v>2139299.0699999998</v>
      </c>
      <c r="G18" s="602">
        <f t="shared" si="1"/>
        <v>1220645.72</v>
      </c>
      <c r="H18" s="602">
        <f t="shared" si="1"/>
        <v>573872.05000000005</v>
      </c>
      <c r="I18" s="602">
        <f t="shared" si="1"/>
        <v>273732.45</v>
      </c>
      <c r="J18" s="602">
        <f t="shared" si="1"/>
        <v>196455.26</v>
      </c>
      <c r="K18" s="602">
        <f t="shared" si="1"/>
        <v>189851.6</v>
      </c>
      <c r="L18" s="602">
        <f t="shared" si="1"/>
        <v>196439.58</v>
      </c>
      <c r="M18" s="602">
        <f t="shared" si="1"/>
        <v>313215.7</v>
      </c>
      <c r="N18" s="602">
        <f t="shared" si="1"/>
        <v>902511.02</v>
      </c>
      <c r="O18" s="602">
        <f t="shared" si="1"/>
        <v>2002012.78</v>
      </c>
      <c r="P18" s="603">
        <f>SUM(D18:O18)</f>
        <v>13802634.639999999</v>
      </c>
      <c r="R18" s="598"/>
      <c r="S18" s="598"/>
      <c r="T18" s="599"/>
      <c r="U18" s="600"/>
      <c r="V18" s="242"/>
      <c r="Y18" s="600"/>
    </row>
    <row r="19" spans="1:25" x14ac:dyDescent="0.2">
      <c r="J19" s="593"/>
      <c r="K19" s="593"/>
      <c r="L19" s="593"/>
      <c r="M19" s="604"/>
      <c r="N19" s="605"/>
      <c r="O19" s="605"/>
      <c r="P19" s="604"/>
      <c r="R19" s="293"/>
      <c r="S19" s="293"/>
    </row>
    <row r="20" spans="1:25" x14ac:dyDescent="0.2">
      <c r="A20" s="259">
        <f>A18+1</f>
        <v>5</v>
      </c>
      <c r="B20" s="223" t="s">
        <v>254</v>
      </c>
    </row>
    <row r="21" spans="1:25" x14ac:dyDescent="0.2">
      <c r="R21" s="594"/>
      <c r="S21" s="594"/>
      <c r="U21" s="594"/>
      <c r="V21" s="594"/>
    </row>
    <row r="22" spans="1:25" x14ac:dyDescent="0.2">
      <c r="A22" s="259">
        <f>A20+1</f>
        <v>6</v>
      </c>
      <c r="B22" s="222" t="s">
        <v>357</v>
      </c>
      <c r="C22" s="460" t="s">
        <v>23</v>
      </c>
      <c r="D22" s="606">
        <f>D16</f>
        <v>2.2090999999999998</v>
      </c>
      <c r="E22" s="606">
        <f t="shared" ref="E22:O22" si="2">E16</f>
        <v>2.2090999999999998</v>
      </c>
      <c r="F22" s="606">
        <f t="shared" si="2"/>
        <v>2.2090999999999998</v>
      </c>
      <c r="G22" s="606">
        <f t="shared" si="2"/>
        <v>2.2090999999999998</v>
      </c>
      <c r="H22" s="606">
        <f t="shared" si="2"/>
        <v>2.2090999999999998</v>
      </c>
      <c r="I22" s="606">
        <f t="shared" si="2"/>
        <v>2.2090999999999998</v>
      </c>
      <c r="J22" s="606">
        <f t="shared" si="2"/>
        <v>2.2090999999999998</v>
      </c>
      <c r="K22" s="606">
        <f t="shared" si="2"/>
        <v>2.2090999999999998</v>
      </c>
      <c r="L22" s="606">
        <f t="shared" si="2"/>
        <v>2.2090999999999998</v>
      </c>
      <c r="M22" s="606">
        <f t="shared" si="2"/>
        <v>2.2090999999999998</v>
      </c>
      <c r="N22" s="606">
        <f t="shared" si="2"/>
        <v>2.2090999999999998</v>
      </c>
      <c r="O22" s="606">
        <f t="shared" si="2"/>
        <v>2.2090999999999998</v>
      </c>
      <c r="P22" s="597"/>
      <c r="R22" s="598"/>
      <c r="S22" s="598"/>
      <c r="T22" s="599"/>
      <c r="U22" s="600"/>
      <c r="V22" s="242"/>
      <c r="Y22" s="600"/>
    </row>
    <row r="23" spans="1:25" ht="12" x14ac:dyDescent="0.35">
      <c r="A23" s="259">
        <f>A22+1</f>
        <v>7</v>
      </c>
      <c r="B23" s="222" t="s">
        <v>26</v>
      </c>
      <c r="C23" s="222" t="s">
        <v>22</v>
      </c>
      <c r="D23" s="601">
        <f>'C'!D96</f>
        <v>660739.99999999988</v>
      </c>
      <c r="E23" s="601">
        <f>'C'!E96</f>
        <v>655060.9</v>
      </c>
      <c r="F23" s="601">
        <f>'C'!F96</f>
        <v>456847.5</v>
      </c>
      <c r="G23" s="601">
        <f>'C'!G96</f>
        <v>277301.89999999997</v>
      </c>
      <c r="H23" s="601">
        <f>'C'!H96</f>
        <v>134480.19999999998</v>
      </c>
      <c r="I23" s="601">
        <f>'C'!I96</f>
        <v>80718.299999999988</v>
      </c>
      <c r="J23" s="601">
        <f>'C'!J96</f>
        <v>56728.5</v>
      </c>
      <c r="K23" s="601">
        <f>'C'!K96</f>
        <v>52785.7</v>
      </c>
      <c r="L23" s="601">
        <f>'C'!L96</f>
        <v>51801.2</v>
      </c>
      <c r="M23" s="601">
        <f>'C'!M96</f>
        <v>77144.100000000006</v>
      </c>
      <c r="N23" s="601">
        <f>'C'!N96</f>
        <v>171035.9</v>
      </c>
      <c r="O23" s="601">
        <f>'C'!O96</f>
        <v>423570.9</v>
      </c>
      <c r="P23" s="597">
        <f>SUM(D23:O23)</f>
        <v>3098215.1</v>
      </c>
      <c r="R23" s="598"/>
      <c r="S23" s="598"/>
      <c r="T23" s="599"/>
      <c r="U23" s="600"/>
      <c r="V23" s="242"/>
      <c r="Y23" s="600"/>
    </row>
    <row r="24" spans="1:25" x14ac:dyDescent="0.2">
      <c r="A24" s="259">
        <f>A23+1</f>
        <v>8</v>
      </c>
      <c r="B24" s="222" t="s">
        <v>317</v>
      </c>
      <c r="C24" s="222" t="s">
        <v>24</v>
      </c>
      <c r="D24" s="602">
        <f>ROUND(D22*D23,2)</f>
        <v>1459640.73</v>
      </c>
      <c r="E24" s="602">
        <f t="shared" ref="E24:O24" si="3">ROUND(E22*E23,2)</f>
        <v>1447095.03</v>
      </c>
      <c r="F24" s="602">
        <f t="shared" si="3"/>
        <v>1009221.81</v>
      </c>
      <c r="G24" s="602">
        <f t="shared" si="3"/>
        <v>612587.63</v>
      </c>
      <c r="H24" s="602">
        <f t="shared" si="3"/>
        <v>297080.21000000002</v>
      </c>
      <c r="I24" s="602">
        <f t="shared" si="3"/>
        <v>178314.8</v>
      </c>
      <c r="J24" s="602">
        <f t="shared" si="3"/>
        <v>125318.93</v>
      </c>
      <c r="K24" s="602">
        <f t="shared" si="3"/>
        <v>116608.89</v>
      </c>
      <c r="L24" s="602">
        <f t="shared" si="3"/>
        <v>114434.03</v>
      </c>
      <c r="M24" s="602">
        <f t="shared" si="3"/>
        <v>170419.03</v>
      </c>
      <c r="N24" s="602">
        <f t="shared" si="3"/>
        <v>377835.41</v>
      </c>
      <c r="O24" s="602">
        <f t="shared" si="3"/>
        <v>935710.48</v>
      </c>
      <c r="P24" s="603">
        <f>SUM(D24:O24)</f>
        <v>6844266.9800000004</v>
      </c>
      <c r="R24" s="598"/>
      <c r="S24" s="598"/>
      <c r="T24" s="599"/>
      <c r="U24" s="600"/>
      <c r="V24" s="242"/>
      <c r="Y24" s="600"/>
    </row>
    <row r="25" spans="1:25" x14ac:dyDescent="0.2">
      <c r="B25" s="456"/>
      <c r="C25" s="456"/>
      <c r="D25" s="607"/>
      <c r="E25" s="607"/>
      <c r="F25" s="607"/>
      <c r="G25" s="607"/>
      <c r="H25" s="607"/>
      <c r="I25" s="607"/>
      <c r="J25" s="607"/>
      <c r="K25" s="607"/>
      <c r="L25" s="607"/>
      <c r="M25" s="607"/>
      <c r="N25" s="607"/>
      <c r="O25" s="607"/>
      <c r="P25" s="608"/>
      <c r="R25" s="600"/>
      <c r="S25" s="600"/>
      <c r="U25" s="600"/>
      <c r="V25" s="600"/>
    </row>
    <row r="26" spans="1:25" x14ac:dyDescent="0.2">
      <c r="A26" s="259">
        <f>A24+1</f>
        <v>9</v>
      </c>
      <c r="B26" s="223" t="s">
        <v>264</v>
      </c>
    </row>
    <row r="27" spans="1:25" x14ac:dyDescent="0.2">
      <c r="R27" s="594"/>
      <c r="S27" s="594"/>
      <c r="T27" s="594"/>
    </row>
    <row r="28" spans="1:25" x14ac:dyDescent="0.2">
      <c r="A28" s="259">
        <f>A26+1</f>
        <v>10</v>
      </c>
      <c r="B28" s="222" t="s">
        <v>357</v>
      </c>
      <c r="C28" s="460" t="s">
        <v>23</v>
      </c>
      <c r="D28" s="606">
        <f>D22</f>
        <v>2.2090999999999998</v>
      </c>
      <c r="E28" s="606">
        <f t="shared" ref="E28:O28" si="4">E22</f>
        <v>2.2090999999999998</v>
      </c>
      <c r="F28" s="606">
        <f t="shared" si="4"/>
        <v>2.2090999999999998</v>
      </c>
      <c r="G28" s="606">
        <f t="shared" si="4"/>
        <v>2.2090999999999998</v>
      </c>
      <c r="H28" s="606">
        <f t="shared" si="4"/>
        <v>2.2090999999999998</v>
      </c>
      <c r="I28" s="606">
        <f t="shared" si="4"/>
        <v>2.2090999999999998</v>
      </c>
      <c r="J28" s="606">
        <f t="shared" si="4"/>
        <v>2.2090999999999998</v>
      </c>
      <c r="K28" s="606">
        <f t="shared" si="4"/>
        <v>2.2090999999999998</v>
      </c>
      <c r="L28" s="606">
        <f t="shared" si="4"/>
        <v>2.2090999999999998</v>
      </c>
      <c r="M28" s="606">
        <f t="shared" si="4"/>
        <v>2.2090999999999998</v>
      </c>
      <c r="N28" s="606">
        <f t="shared" si="4"/>
        <v>2.2090999999999998</v>
      </c>
      <c r="O28" s="606">
        <f t="shared" si="4"/>
        <v>2.2090999999999998</v>
      </c>
      <c r="P28" s="597"/>
      <c r="R28" s="598"/>
      <c r="S28" s="598"/>
      <c r="T28" s="599"/>
      <c r="U28" s="600"/>
      <c r="V28" s="242"/>
      <c r="Y28" s="600"/>
    </row>
    <row r="29" spans="1:25" ht="12" x14ac:dyDescent="0.35">
      <c r="A29" s="259">
        <f>A28+1</f>
        <v>11</v>
      </c>
      <c r="B29" s="222" t="s">
        <v>26</v>
      </c>
      <c r="C29" s="222" t="s">
        <v>22</v>
      </c>
      <c r="D29" s="601">
        <f>'C'!D129</f>
        <v>33000.199999999997</v>
      </c>
      <c r="E29" s="601">
        <f>'C'!E129</f>
        <v>31999.9</v>
      </c>
      <c r="F29" s="601">
        <f>'C'!F129</f>
        <v>30900</v>
      </c>
      <c r="G29" s="601">
        <f>'C'!G129</f>
        <v>29799.9</v>
      </c>
      <c r="H29" s="601">
        <f>'C'!H129</f>
        <v>28800.3</v>
      </c>
      <c r="I29" s="601">
        <f>'C'!I129</f>
        <v>27749.9</v>
      </c>
      <c r="J29" s="601">
        <f>'C'!J129</f>
        <v>27749.9</v>
      </c>
      <c r="K29" s="601">
        <f>'C'!K129</f>
        <v>28750.199999999997</v>
      </c>
      <c r="L29" s="601">
        <f>'C'!L129</f>
        <v>28750.2</v>
      </c>
      <c r="M29" s="601">
        <f>'C'!M129</f>
        <v>30849.9</v>
      </c>
      <c r="N29" s="601">
        <f>'C'!N129</f>
        <v>30900</v>
      </c>
      <c r="O29" s="601">
        <f>'C'!O129</f>
        <v>31000.1</v>
      </c>
      <c r="P29" s="597">
        <f>SUM(D29:O29)</f>
        <v>360250.5</v>
      </c>
      <c r="R29" s="598"/>
      <c r="S29" s="598"/>
      <c r="T29" s="599"/>
      <c r="U29" s="600"/>
      <c r="V29" s="242"/>
      <c r="Y29" s="600"/>
    </row>
    <row r="30" spans="1:25" x14ac:dyDescent="0.2">
      <c r="A30" s="259">
        <f>A29+1</f>
        <v>12</v>
      </c>
      <c r="B30" s="222" t="s">
        <v>317</v>
      </c>
      <c r="C30" s="222" t="s">
        <v>24</v>
      </c>
      <c r="D30" s="602">
        <f>ROUND(D28*D29,2)</f>
        <v>72900.740000000005</v>
      </c>
      <c r="E30" s="602">
        <f t="shared" ref="E30:O30" si="5">ROUND(E28*E29,2)</f>
        <v>70690.98</v>
      </c>
      <c r="F30" s="602">
        <f t="shared" si="5"/>
        <v>68261.19</v>
      </c>
      <c r="G30" s="602">
        <f t="shared" si="5"/>
        <v>65830.960000000006</v>
      </c>
      <c r="H30" s="602">
        <f t="shared" si="5"/>
        <v>63622.74</v>
      </c>
      <c r="I30" s="602">
        <f t="shared" si="5"/>
        <v>61302.3</v>
      </c>
      <c r="J30" s="602">
        <f t="shared" si="5"/>
        <v>61302.3</v>
      </c>
      <c r="K30" s="602">
        <f t="shared" si="5"/>
        <v>63512.07</v>
      </c>
      <c r="L30" s="602">
        <f t="shared" si="5"/>
        <v>63512.07</v>
      </c>
      <c r="M30" s="602">
        <f t="shared" si="5"/>
        <v>68150.509999999995</v>
      </c>
      <c r="N30" s="602">
        <f t="shared" si="5"/>
        <v>68261.19</v>
      </c>
      <c r="O30" s="602">
        <f t="shared" si="5"/>
        <v>68482.320000000007</v>
      </c>
      <c r="P30" s="603">
        <f>SUM(D30:O30)</f>
        <v>795829.36999999988</v>
      </c>
      <c r="R30" s="598"/>
      <c r="S30" s="598"/>
      <c r="T30" s="599"/>
      <c r="U30" s="600"/>
      <c r="V30" s="242"/>
      <c r="Y30" s="600"/>
    </row>
    <row r="31" spans="1:25" x14ac:dyDescent="0.2">
      <c r="B31" s="456"/>
      <c r="C31" s="456"/>
      <c r="D31" s="609"/>
      <c r="E31" s="609"/>
      <c r="F31" s="609"/>
      <c r="G31" s="609"/>
      <c r="H31" s="609"/>
      <c r="I31" s="609"/>
      <c r="J31" s="610"/>
      <c r="K31" s="610"/>
      <c r="L31" s="611"/>
      <c r="M31" s="497"/>
      <c r="N31" s="605"/>
      <c r="O31" s="605"/>
      <c r="P31" s="597"/>
      <c r="R31" s="600"/>
      <c r="S31" s="600"/>
      <c r="T31" s="600"/>
    </row>
    <row r="32" spans="1:25" x14ac:dyDescent="0.2">
      <c r="A32" s="259">
        <f>A30+1</f>
        <v>13</v>
      </c>
      <c r="B32" s="223" t="s">
        <v>283</v>
      </c>
    </row>
    <row r="33" spans="1:25" x14ac:dyDescent="0.2">
      <c r="B33" s="456"/>
      <c r="C33" s="456"/>
      <c r="D33" s="609"/>
      <c r="E33" s="609"/>
      <c r="F33" s="609"/>
      <c r="G33" s="609"/>
      <c r="H33" s="609"/>
      <c r="I33" s="609"/>
      <c r="J33" s="610"/>
      <c r="K33" s="610"/>
      <c r="L33" s="611"/>
      <c r="M33" s="497"/>
      <c r="N33" s="605"/>
      <c r="O33" s="605"/>
      <c r="P33" s="597"/>
      <c r="R33" s="600"/>
      <c r="S33" s="600"/>
      <c r="T33" s="600"/>
    </row>
    <row r="34" spans="1:25" x14ac:dyDescent="0.2">
      <c r="A34" s="259">
        <f>A32+1</f>
        <v>14</v>
      </c>
      <c r="B34" s="222" t="s">
        <v>357</v>
      </c>
      <c r="C34" s="460" t="s">
        <v>23</v>
      </c>
      <c r="D34" s="606">
        <f>D28</f>
        <v>2.2090999999999998</v>
      </c>
      <c r="E34" s="606">
        <f t="shared" ref="E34:O34" si="6">E28</f>
        <v>2.2090999999999998</v>
      </c>
      <c r="F34" s="606">
        <f t="shared" si="6"/>
        <v>2.2090999999999998</v>
      </c>
      <c r="G34" s="606">
        <f t="shared" si="6"/>
        <v>2.2090999999999998</v>
      </c>
      <c r="H34" s="606">
        <f t="shared" si="6"/>
        <v>2.2090999999999998</v>
      </c>
      <c r="I34" s="606">
        <f t="shared" si="6"/>
        <v>2.2090999999999998</v>
      </c>
      <c r="J34" s="606">
        <f t="shared" si="6"/>
        <v>2.2090999999999998</v>
      </c>
      <c r="K34" s="606">
        <f t="shared" si="6"/>
        <v>2.2090999999999998</v>
      </c>
      <c r="L34" s="606">
        <f t="shared" si="6"/>
        <v>2.2090999999999998</v>
      </c>
      <c r="M34" s="606">
        <f t="shared" si="6"/>
        <v>2.2090999999999998</v>
      </c>
      <c r="N34" s="606">
        <f t="shared" si="6"/>
        <v>2.2090999999999998</v>
      </c>
      <c r="O34" s="606">
        <f t="shared" si="6"/>
        <v>2.2090999999999998</v>
      </c>
      <c r="P34" s="597"/>
      <c r="R34" s="598"/>
      <c r="S34" s="598"/>
      <c r="T34" s="599"/>
      <c r="U34" s="600"/>
      <c r="V34" s="242"/>
      <c r="Y34" s="600"/>
    </row>
    <row r="35" spans="1:25" ht="12" x14ac:dyDescent="0.35">
      <c r="A35" s="259">
        <f>A34+1</f>
        <v>15</v>
      </c>
      <c r="B35" s="222" t="s">
        <v>26</v>
      </c>
      <c r="C35" s="222" t="s">
        <v>22</v>
      </c>
      <c r="D35" s="601">
        <f>'C'!D136</f>
        <v>0</v>
      </c>
      <c r="E35" s="601">
        <f>'C'!E136</f>
        <v>0</v>
      </c>
      <c r="F35" s="601">
        <f>'C'!F136</f>
        <v>0</v>
      </c>
      <c r="G35" s="601">
        <f>'C'!G136</f>
        <v>0</v>
      </c>
      <c r="H35" s="601">
        <f>'C'!H136</f>
        <v>0</v>
      </c>
      <c r="I35" s="601">
        <f>'C'!I136</f>
        <v>0</v>
      </c>
      <c r="J35" s="601">
        <f>'C'!J136</f>
        <v>0</v>
      </c>
      <c r="K35" s="601">
        <f>'C'!K136</f>
        <v>0</v>
      </c>
      <c r="L35" s="601">
        <f>'C'!L136</f>
        <v>0</v>
      </c>
      <c r="M35" s="601">
        <f>'C'!M136</f>
        <v>0</v>
      </c>
      <c r="N35" s="601">
        <f>'C'!N136</f>
        <v>0</v>
      </c>
      <c r="O35" s="601">
        <f>'C'!O136</f>
        <v>0</v>
      </c>
      <c r="P35" s="597">
        <f>SUM(D35:O35)</f>
        <v>0</v>
      </c>
      <c r="R35" s="598"/>
      <c r="S35" s="598"/>
      <c r="T35" s="599"/>
      <c r="U35" s="600"/>
      <c r="V35" s="242"/>
      <c r="Y35" s="600"/>
    </row>
    <row r="36" spans="1:25" x14ac:dyDescent="0.2">
      <c r="A36" s="259">
        <f>A35+1</f>
        <v>16</v>
      </c>
      <c r="B36" s="222" t="s">
        <v>317</v>
      </c>
      <c r="C36" s="222" t="s">
        <v>24</v>
      </c>
      <c r="D36" s="602">
        <f>ROUND(D34*D35,2)</f>
        <v>0</v>
      </c>
      <c r="E36" s="602">
        <f t="shared" ref="E36:O36" si="7">ROUND(E34*E35,2)</f>
        <v>0</v>
      </c>
      <c r="F36" s="602">
        <f t="shared" si="7"/>
        <v>0</v>
      </c>
      <c r="G36" s="602">
        <f t="shared" si="7"/>
        <v>0</v>
      </c>
      <c r="H36" s="602">
        <f t="shared" si="7"/>
        <v>0</v>
      </c>
      <c r="I36" s="602">
        <f t="shared" si="7"/>
        <v>0</v>
      </c>
      <c r="J36" s="602">
        <f t="shared" si="7"/>
        <v>0</v>
      </c>
      <c r="K36" s="602">
        <f t="shared" si="7"/>
        <v>0</v>
      </c>
      <c r="L36" s="602">
        <f t="shared" si="7"/>
        <v>0</v>
      </c>
      <c r="M36" s="602">
        <f t="shared" si="7"/>
        <v>0</v>
      </c>
      <c r="N36" s="602">
        <f t="shared" si="7"/>
        <v>0</v>
      </c>
      <c r="O36" s="602">
        <f t="shared" si="7"/>
        <v>0</v>
      </c>
      <c r="P36" s="603">
        <f>SUM(D36:O36)</f>
        <v>0</v>
      </c>
      <c r="R36" s="598"/>
      <c r="S36" s="598"/>
      <c r="T36" s="599"/>
      <c r="U36" s="600"/>
      <c r="V36" s="242"/>
      <c r="Y36" s="600"/>
    </row>
    <row r="37" spans="1:25" x14ac:dyDescent="0.2">
      <c r="J37" s="593"/>
      <c r="K37" s="593"/>
      <c r="L37" s="593"/>
      <c r="M37" s="604"/>
      <c r="N37" s="605"/>
      <c r="O37" s="605"/>
      <c r="P37" s="604"/>
      <c r="R37" s="293"/>
      <c r="S37" s="293"/>
    </row>
    <row r="38" spans="1:25" x14ac:dyDescent="0.2">
      <c r="A38" s="259">
        <f>A36+1</f>
        <v>17</v>
      </c>
      <c r="B38" s="223" t="s">
        <v>265</v>
      </c>
    </row>
    <row r="39" spans="1:25" x14ac:dyDescent="0.2">
      <c r="R39" s="594"/>
      <c r="S39" s="594"/>
      <c r="T39" s="594"/>
      <c r="U39" s="594"/>
      <c r="V39" s="594"/>
    </row>
    <row r="40" spans="1:25" x14ac:dyDescent="0.2">
      <c r="A40" s="259">
        <f>A38+1</f>
        <v>18</v>
      </c>
      <c r="B40" s="222" t="s">
        <v>357</v>
      </c>
      <c r="C40" s="460" t="s">
        <v>23</v>
      </c>
      <c r="D40" s="606">
        <f>D34</f>
        <v>2.2090999999999998</v>
      </c>
      <c r="E40" s="606">
        <f t="shared" ref="E40:O40" si="8">E34</f>
        <v>2.2090999999999998</v>
      </c>
      <c r="F40" s="606">
        <f t="shared" si="8"/>
        <v>2.2090999999999998</v>
      </c>
      <c r="G40" s="606">
        <f t="shared" si="8"/>
        <v>2.2090999999999998</v>
      </c>
      <c r="H40" s="606">
        <f t="shared" si="8"/>
        <v>2.2090999999999998</v>
      </c>
      <c r="I40" s="606">
        <f t="shared" si="8"/>
        <v>2.2090999999999998</v>
      </c>
      <c r="J40" s="606">
        <f t="shared" si="8"/>
        <v>2.2090999999999998</v>
      </c>
      <c r="K40" s="606">
        <f t="shared" si="8"/>
        <v>2.2090999999999998</v>
      </c>
      <c r="L40" s="606">
        <f t="shared" si="8"/>
        <v>2.2090999999999998</v>
      </c>
      <c r="M40" s="606">
        <f t="shared" si="8"/>
        <v>2.2090999999999998</v>
      </c>
      <c r="N40" s="606">
        <f t="shared" si="8"/>
        <v>2.2090999999999998</v>
      </c>
      <c r="O40" s="606">
        <f t="shared" si="8"/>
        <v>2.2090999999999998</v>
      </c>
      <c r="P40" s="597"/>
      <c r="R40" s="598"/>
      <c r="S40" s="598"/>
      <c r="T40" s="599"/>
      <c r="U40" s="600"/>
      <c r="V40" s="242"/>
      <c r="Y40" s="600"/>
    </row>
    <row r="41" spans="1:25" ht="12" x14ac:dyDescent="0.35">
      <c r="A41" s="259">
        <f>A40+1</f>
        <v>19</v>
      </c>
      <c r="B41" s="222" t="s">
        <v>26</v>
      </c>
      <c r="C41" s="222" t="s">
        <v>22</v>
      </c>
      <c r="D41" s="601">
        <f>'C'!D141</f>
        <v>3136.7</v>
      </c>
      <c r="E41" s="601">
        <f>'C'!E141</f>
        <v>2307.1999999999998</v>
      </c>
      <c r="F41" s="601">
        <f>'C'!F141</f>
        <v>1098.5999999999999</v>
      </c>
      <c r="G41" s="601">
        <f>'C'!G141</f>
        <v>641.70000000000005</v>
      </c>
      <c r="H41" s="601">
        <f>'C'!H141</f>
        <v>362.9</v>
      </c>
      <c r="I41" s="601">
        <f>'C'!I141</f>
        <v>221.4</v>
      </c>
      <c r="J41" s="601">
        <f>'C'!J141</f>
        <v>245</v>
      </c>
      <c r="K41" s="601">
        <f>'C'!K141</f>
        <v>196.3</v>
      </c>
      <c r="L41" s="601">
        <f>'C'!L141</f>
        <v>196.6</v>
      </c>
      <c r="M41" s="601">
        <f>'C'!M141</f>
        <v>705.2</v>
      </c>
      <c r="N41" s="601">
        <f>'C'!N141</f>
        <v>1014.3</v>
      </c>
      <c r="O41" s="601">
        <f>'C'!O141</f>
        <v>1194.8</v>
      </c>
      <c r="P41" s="597">
        <f>SUM(D41:O41)</f>
        <v>11320.699999999999</v>
      </c>
      <c r="R41" s="598"/>
      <c r="S41" s="598"/>
      <c r="T41" s="599"/>
      <c r="U41" s="600"/>
      <c r="V41" s="242"/>
      <c r="Y41" s="600"/>
    </row>
    <row r="42" spans="1:25" x14ac:dyDescent="0.2">
      <c r="A42" s="259">
        <f>A41+1</f>
        <v>20</v>
      </c>
      <c r="B42" s="222" t="s">
        <v>317</v>
      </c>
      <c r="C42" s="222" t="s">
        <v>24</v>
      </c>
      <c r="D42" s="602">
        <f>ROUND(D40*D41,2)</f>
        <v>6929.28</v>
      </c>
      <c r="E42" s="602">
        <f t="shared" ref="E42:O42" si="9">ROUND(E40*E41,2)</f>
        <v>5096.84</v>
      </c>
      <c r="F42" s="602">
        <f t="shared" si="9"/>
        <v>2426.92</v>
      </c>
      <c r="G42" s="602">
        <f t="shared" si="9"/>
        <v>1417.58</v>
      </c>
      <c r="H42" s="602">
        <f t="shared" si="9"/>
        <v>801.68</v>
      </c>
      <c r="I42" s="602">
        <f t="shared" si="9"/>
        <v>489.09</v>
      </c>
      <c r="J42" s="602">
        <f t="shared" si="9"/>
        <v>541.23</v>
      </c>
      <c r="K42" s="602">
        <f t="shared" si="9"/>
        <v>433.65</v>
      </c>
      <c r="L42" s="602">
        <f t="shared" si="9"/>
        <v>434.31</v>
      </c>
      <c r="M42" s="602">
        <f t="shared" si="9"/>
        <v>1557.86</v>
      </c>
      <c r="N42" s="602">
        <f t="shared" si="9"/>
        <v>2240.69</v>
      </c>
      <c r="O42" s="602">
        <f t="shared" si="9"/>
        <v>2639.43</v>
      </c>
      <c r="P42" s="603">
        <f>SUM(D42:O42)</f>
        <v>25008.560000000001</v>
      </c>
      <c r="R42" s="598"/>
      <c r="S42" s="598"/>
      <c r="T42" s="599"/>
      <c r="U42" s="600"/>
      <c r="V42" s="242"/>
      <c r="Y42" s="600"/>
    </row>
    <row r="43" spans="1:25" x14ac:dyDescent="0.2">
      <c r="B43" s="456"/>
      <c r="C43" s="456"/>
      <c r="D43" s="609"/>
      <c r="E43" s="609"/>
      <c r="F43" s="609"/>
      <c r="G43" s="609"/>
      <c r="H43" s="609"/>
      <c r="I43" s="609"/>
      <c r="J43" s="610"/>
      <c r="K43" s="610"/>
      <c r="L43" s="611"/>
      <c r="M43" s="612"/>
      <c r="N43" s="605"/>
      <c r="O43" s="605"/>
      <c r="P43" s="597"/>
      <c r="R43" s="600"/>
      <c r="S43" s="600"/>
      <c r="T43" s="600"/>
      <c r="U43" s="600"/>
      <c r="V43" s="600"/>
    </row>
    <row r="44" spans="1:25" x14ac:dyDescent="0.2">
      <c r="A44" s="259">
        <f>A42+1</f>
        <v>21</v>
      </c>
      <c r="B44" s="223" t="s">
        <v>243</v>
      </c>
    </row>
    <row r="46" spans="1:25" x14ac:dyDescent="0.2">
      <c r="A46" s="259">
        <f>A44+1</f>
        <v>22</v>
      </c>
      <c r="B46" s="222" t="s">
        <v>357</v>
      </c>
      <c r="C46" s="460" t="s">
        <v>23</v>
      </c>
      <c r="D46" s="606">
        <f>D40</f>
        <v>2.2090999999999998</v>
      </c>
      <c r="E46" s="606">
        <f t="shared" ref="E46:O46" si="10">E40</f>
        <v>2.2090999999999998</v>
      </c>
      <c r="F46" s="606">
        <f t="shared" si="10"/>
        <v>2.2090999999999998</v>
      </c>
      <c r="G46" s="606">
        <f t="shared" si="10"/>
        <v>2.2090999999999998</v>
      </c>
      <c r="H46" s="606">
        <f t="shared" si="10"/>
        <v>2.2090999999999998</v>
      </c>
      <c r="I46" s="606">
        <f t="shared" si="10"/>
        <v>2.2090999999999998</v>
      </c>
      <c r="J46" s="606">
        <f t="shared" si="10"/>
        <v>2.2090999999999998</v>
      </c>
      <c r="K46" s="606">
        <f t="shared" si="10"/>
        <v>2.2090999999999998</v>
      </c>
      <c r="L46" s="606">
        <f t="shared" si="10"/>
        <v>2.2090999999999998</v>
      </c>
      <c r="M46" s="606">
        <f t="shared" si="10"/>
        <v>2.2090999999999998</v>
      </c>
      <c r="N46" s="606">
        <f t="shared" si="10"/>
        <v>2.2090999999999998</v>
      </c>
      <c r="O46" s="606">
        <f t="shared" si="10"/>
        <v>2.2090999999999998</v>
      </c>
      <c r="P46" s="597"/>
      <c r="R46" s="598"/>
      <c r="S46" s="598"/>
      <c r="T46" s="599"/>
      <c r="U46" s="600"/>
      <c r="V46" s="242"/>
      <c r="Y46" s="600"/>
    </row>
    <row r="47" spans="1:25" ht="12" x14ac:dyDescent="0.35">
      <c r="A47" s="259">
        <f>A46+1</f>
        <v>23</v>
      </c>
      <c r="B47" s="222" t="s">
        <v>26</v>
      </c>
      <c r="C47" s="222" t="s">
        <v>22</v>
      </c>
      <c r="D47" s="601">
        <f>'C'!D27</f>
        <v>458.3</v>
      </c>
      <c r="E47" s="601">
        <f>'C'!E27</f>
        <v>345.9</v>
      </c>
      <c r="F47" s="601">
        <f>'C'!F27</f>
        <v>279.39999999999998</v>
      </c>
      <c r="G47" s="601">
        <f>'C'!G27</f>
        <v>174.8</v>
      </c>
      <c r="H47" s="601">
        <f>'C'!H27</f>
        <v>81.099999999999994</v>
      </c>
      <c r="I47" s="601">
        <f>'C'!I27</f>
        <v>33.4</v>
      </c>
      <c r="J47" s="601">
        <f>'C'!J27</f>
        <v>24.1</v>
      </c>
      <c r="K47" s="601">
        <f>'C'!K27</f>
        <v>27.6</v>
      </c>
      <c r="L47" s="601">
        <f>'C'!L27</f>
        <v>28.4</v>
      </c>
      <c r="M47" s="601">
        <f>'C'!M27</f>
        <v>68</v>
      </c>
      <c r="N47" s="601">
        <f>'C'!N27</f>
        <v>159.19999999999999</v>
      </c>
      <c r="O47" s="601">
        <f>'C'!O27</f>
        <v>338.7</v>
      </c>
      <c r="P47" s="597">
        <f>SUM(D47:O47)</f>
        <v>2018.8999999999999</v>
      </c>
      <c r="R47" s="598"/>
      <c r="S47" s="598"/>
      <c r="T47" s="599"/>
      <c r="U47" s="600"/>
      <c r="V47" s="242"/>
      <c r="Y47" s="600"/>
    </row>
    <row r="48" spans="1:25" x14ac:dyDescent="0.2">
      <c r="A48" s="259">
        <f>A47+1</f>
        <v>24</v>
      </c>
      <c r="B48" s="222" t="s">
        <v>317</v>
      </c>
      <c r="C48" s="222" t="s">
        <v>24</v>
      </c>
      <c r="D48" s="602">
        <f>ROUND(D46*D47,2)</f>
        <v>1012.43</v>
      </c>
      <c r="E48" s="602">
        <f t="shared" ref="E48:O48" si="11">ROUND(E46*E47,2)</f>
        <v>764.13</v>
      </c>
      <c r="F48" s="602">
        <f t="shared" si="11"/>
        <v>617.22</v>
      </c>
      <c r="G48" s="602">
        <f t="shared" si="11"/>
        <v>386.15</v>
      </c>
      <c r="H48" s="602">
        <f t="shared" si="11"/>
        <v>179.16</v>
      </c>
      <c r="I48" s="602">
        <f t="shared" si="11"/>
        <v>73.78</v>
      </c>
      <c r="J48" s="602">
        <f t="shared" si="11"/>
        <v>53.24</v>
      </c>
      <c r="K48" s="602">
        <f t="shared" si="11"/>
        <v>60.97</v>
      </c>
      <c r="L48" s="602">
        <f t="shared" si="11"/>
        <v>62.74</v>
      </c>
      <c r="M48" s="602">
        <f t="shared" si="11"/>
        <v>150.22</v>
      </c>
      <c r="N48" s="602">
        <f t="shared" si="11"/>
        <v>351.69</v>
      </c>
      <c r="O48" s="602">
        <f t="shared" si="11"/>
        <v>748.22</v>
      </c>
      <c r="P48" s="603">
        <f>SUM(D48:O48)</f>
        <v>4459.9499999999989</v>
      </c>
      <c r="R48" s="598"/>
      <c r="S48" s="598"/>
      <c r="T48" s="599"/>
      <c r="U48" s="600"/>
      <c r="V48" s="242"/>
      <c r="Y48" s="600"/>
    </row>
    <row r="49" spans="1:25" x14ac:dyDescent="0.2">
      <c r="B49" s="456"/>
      <c r="C49" s="456"/>
      <c r="D49" s="609"/>
      <c r="E49" s="609"/>
      <c r="F49" s="609"/>
      <c r="G49" s="609"/>
      <c r="H49" s="609"/>
      <c r="I49" s="609"/>
      <c r="J49" s="610"/>
      <c r="K49" s="610"/>
      <c r="L49" s="611"/>
      <c r="M49" s="612"/>
      <c r="N49" s="605"/>
      <c r="O49" s="605"/>
      <c r="P49" s="597"/>
      <c r="R49" s="600"/>
      <c r="S49" s="600"/>
      <c r="U49" s="600"/>
    </row>
    <row r="50" spans="1:25" x14ac:dyDescent="0.2">
      <c r="A50" s="259">
        <f>A48+1</f>
        <v>25</v>
      </c>
      <c r="B50" s="223" t="s">
        <v>242</v>
      </c>
    </row>
    <row r="52" spans="1:25" x14ac:dyDescent="0.2">
      <c r="A52" s="259">
        <f>A50+1</f>
        <v>26</v>
      </c>
      <c r="B52" s="222" t="s">
        <v>357</v>
      </c>
      <c r="C52" s="460" t="s">
        <v>23</v>
      </c>
      <c r="D52" s="606">
        <f>D46</f>
        <v>2.2090999999999998</v>
      </c>
      <c r="E52" s="606">
        <f t="shared" ref="E52:O52" si="12">E46</f>
        <v>2.2090999999999998</v>
      </c>
      <c r="F52" s="606">
        <f t="shared" si="12"/>
        <v>2.2090999999999998</v>
      </c>
      <c r="G52" s="606">
        <f t="shared" si="12"/>
        <v>2.2090999999999998</v>
      </c>
      <c r="H52" s="606">
        <f t="shared" si="12"/>
        <v>2.2090999999999998</v>
      </c>
      <c r="I52" s="606">
        <f t="shared" si="12"/>
        <v>2.2090999999999998</v>
      </c>
      <c r="J52" s="606">
        <f t="shared" si="12"/>
        <v>2.2090999999999998</v>
      </c>
      <c r="K52" s="606">
        <f t="shared" si="12"/>
        <v>2.2090999999999998</v>
      </c>
      <c r="L52" s="606">
        <f t="shared" si="12"/>
        <v>2.2090999999999998</v>
      </c>
      <c r="M52" s="606">
        <f t="shared" si="12"/>
        <v>2.2090999999999998</v>
      </c>
      <c r="N52" s="606">
        <f t="shared" si="12"/>
        <v>2.2090999999999998</v>
      </c>
      <c r="O52" s="606">
        <f t="shared" si="12"/>
        <v>2.2090999999999998</v>
      </c>
      <c r="P52" s="597"/>
      <c r="R52" s="598"/>
      <c r="S52" s="598"/>
      <c r="T52" s="599"/>
      <c r="U52" s="600"/>
      <c r="V52" s="242"/>
      <c r="Y52" s="600"/>
    </row>
    <row r="53" spans="1:25" ht="12" x14ac:dyDescent="0.35">
      <c r="A53" s="259">
        <f>A52+1</f>
        <v>27</v>
      </c>
      <c r="B53" s="222" t="s">
        <v>26</v>
      </c>
      <c r="C53" s="222" t="s">
        <v>22</v>
      </c>
      <c r="D53" s="601">
        <f>'C'!D22</f>
        <v>307.2</v>
      </c>
      <c r="E53" s="601">
        <f>'C'!E22</f>
        <v>374.8</v>
      </c>
      <c r="F53" s="601">
        <f>'C'!F22</f>
        <v>373.1</v>
      </c>
      <c r="G53" s="601">
        <f>'C'!G22</f>
        <v>173.3</v>
      </c>
      <c r="H53" s="601">
        <f>'C'!H22</f>
        <v>68.900000000000006</v>
      </c>
      <c r="I53" s="601">
        <f>'C'!I22</f>
        <v>18</v>
      </c>
      <c r="J53" s="601">
        <f>'C'!J22</f>
        <v>29.1</v>
      </c>
      <c r="K53" s="601">
        <f>'C'!K22</f>
        <v>16.7</v>
      </c>
      <c r="L53" s="601">
        <f>'C'!L22</f>
        <v>8.8000000000000007</v>
      </c>
      <c r="M53" s="601">
        <f>'C'!M22</f>
        <v>22.2</v>
      </c>
      <c r="N53" s="601">
        <f>'C'!N22</f>
        <v>83.3</v>
      </c>
      <c r="O53" s="601">
        <f>'C'!O22</f>
        <v>222.4</v>
      </c>
      <c r="P53" s="597">
        <f>SUM(D53:O53)</f>
        <v>1697.8</v>
      </c>
      <c r="R53" s="598"/>
      <c r="S53" s="598"/>
      <c r="T53" s="599"/>
      <c r="U53" s="600"/>
      <c r="V53" s="242"/>
      <c r="Y53" s="600"/>
    </row>
    <row r="54" spans="1:25" x14ac:dyDescent="0.2">
      <c r="A54" s="259">
        <f>A53+1</f>
        <v>28</v>
      </c>
      <c r="B54" s="222" t="s">
        <v>317</v>
      </c>
      <c r="C54" s="222" t="s">
        <v>24</v>
      </c>
      <c r="D54" s="602">
        <f>ROUND(D52*D53,2)</f>
        <v>678.64</v>
      </c>
      <c r="E54" s="602">
        <f t="shared" ref="E54:O54" si="13">ROUND(E52*E53,2)</f>
        <v>827.97</v>
      </c>
      <c r="F54" s="602">
        <f t="shared" si="13"/>
        <v>824.22</v>
      </c>
      <c r="G54" s="602">
        <f t="shared" si="13"/>
        <v>382.84</v>
      </c>
      <c r="H54" s="602">
        <f t="shared" si="13"/>
        <v>152.21</v>
      </c>
      <c r="I54" s="602">
        <f t="shared" si="13"/>
        <v>39.76</v>
      </c>
      <c r="J54" s="602">
        <f t="shared" si="13"/>
        <v>64.28</v>
      </c>
      <c r="K54" s="602">
        <f t="shared" si="13"/>
        <v>36.89</v>
      </c>
      <c r="L54" s="602">
        <f t="shared" si="13"/>
        <v>19.440000000000001</v>
      </c>
      <c r="M54" s="602">
        <f t="shared" si="13"/>
        <v>49.04</v>
      </c>
      <c r="N54" s="602">
        <f t="shared" si="13"/>
        <v>184.02</v>
      </c>
      <c r="O54" s="602">
        <f t="shared" si="13"/>
        <v>491.3</v>
      </c>
      <c r="P54" s="603">
        <f>SUM(D54:O54)</f>
        <v>3750.6100000000006</v>
      </c>
      <c r="R54" s="598"/>
      <c r="S54" s="598"/>
      <c r="T54" s="599"/>
      <c r="U54" s="600"/>
      <c r="V54" s="242"/>
      <c r="Y54" s="600"/>
    </row>
    <row r="55" spans="1:25" x14ac:dyDescent="0.2">
      <c r="K55" s="613"/>
      <c r="M55" s="604"/>
      <c r="N55" s="605"/>
      <c r="O55" s="605"/>
      <c r="P55" s="614"/>
      <c r="R55" s="293"/>
      <c r="S55" s="293"/>
      <c r="T55" s="293"/>
      <c r="U55" s="293"/>
    </row>
    <row r="56" spans="1:25" x14ac:dyDescent="0.2">
      <c r="A56" s="615">
        <f>A54+1</f>
        <v>29</v>
      </c>
      <c r="B56" s="433"/>
      <c r="C56" s="302"/>
      <c r="D56" s="616">
        <f t="shared" ref="D56:P56" si="14">D18+D24+D30+D36+D42+D48+D54</f>
        <v>4483477.79</v>
      </c>
      <c r="E56" s="616">
        <f t="shared" si="14"/>
        <v>4376758.3899999997</v>
      </c>
      <c r="F56" s="616">
        <f t="shared" si="14"/>
        <v>3220650.43</v>
      </c>
      <c r="G56" s="616">
        <f t="shared" si="14"/>
        <v>1901250.8800000001</v>
      </c>
      <c r="H56" s="616">
        <f t="shared" si="14"/>
        <v>935708.05</v>
      </c>
      <c r="I56" s="616">
        <f t="shared" si="14"/>
        <v>513952.18000000005</v>
      </c>
      <c r="J56" s="616">
        <f t="shared" si="14"/>
        <v>383735.24</v>
      </c>
      <c r="K56" s="616">
        <f t="shared" si="14"/>
        <v>370504.07</v>
      </c>
      <c r="L56" s="616">
        <f t="shared" si="14"/>
        <v>374902.17</v>
      </c>
      <c r="M56" s="616">
        <f t="shared" si="14"/>
        <v>553542.36</v>
      </c>
      <c r="N56" s="616">
        <f t="shared" si="14"/>
        <v>1351384.0199999998</v>
      </c>
      <c r="O56" s="616">
        <f t="shared" si="14"/>
        <v>3010084.53</v>
      </c>
      <c r="P56" s="616">
        <f t="shared" si="14"/>
        <v>21475950.109999996</v>
      </c>
      <c r="R56" s="600"/>
      <c r="S56" s="600"/>
      <c r="T56" s="600"/>
      <c r="U56" s="617"/>
    </row>
    <row r="57" spans="1:25" x14ac:dyDescent="0.2">
      <c r="A57" s="222"/>
      <c r="J57" s="614"/>
      <c r="K57" s="614"/>
      <c r="L57" s="614"/>
      <c r="M57" s="618"/>
      <c r="N57" s="619"/>
      <c r="O57" s="619"/>
      <c r="P57" s="618"/>
      <c r="R57" s="620"/>
      <c r="S57" s="620"/>
      <c r="T57" s="620"/>
      <c r="U57" s="621"/>
    </row>
    <row r="58" spans="1:25" x14ac:dyDescent="0.2">
      <c r="A58" s="622" t="s">
        <v>421</v>
      </c>
      <c r="J58" s="623"/>
      <c r="K58" s="623"/>
      <c r="L58" s="623"/>
      <c r="M58" s="604"/>
      <c r="N58" s="605"/>
      <c r="O58" s="605"/>
      <c r="P58" s="604"/>
      <c r="R58" s="293"/>
      <c r="S58" s="293"/>
      <c r="T58" s="293"/>
      <c r="U58" s="624"/>
    </row>
    <row r="59" spans="1:25" x14ac:dyDescent="0.2">
      <c r="M59" s="604"/>
      <c r="P59" s="604"/>
      <c r="R59" s="293"/>
      <c r="S59" s="293"/>
      <c r="T59" s="293"/>
    </row>
    <row r="60" spans="1:25" x14ac:dyDescent="0.2">
      <c r="M60" s="604"/>
      <c r="P60" s="604"/>
      <c r="R60" s="293"/>
      <c r="S60" s="293"/>
      <c r="T60" s="293"/>
    </row>
    <row r="61" spans="1:25" x14ac:dyDescent="0.2">
      <c r="M61" s="604"/>
      <c r="P61" s="604"/>
      <c r="R61" s="293"/>
      <c r="S61" s="293"/>
      <c r="T61" s="293"/>
    </row>
    <row r="62" spans="1:25" x14ac:dyDescent="0.2">
      <c r="M62" s="604"/>
      <c r="P62" s="604"/>
      <c r="R62" s="293"/>
      <c r="S62" s="293"/>
      <c r="T62" s="293"/>
    </row>
    <row r="63" spans="1:25" x14ac:dyDescent="0.2">
      <c r="M63" s="604"/>
      <c r="P63" s="604"/>
      <c r="R63" s="293"/>
      <c r="S63" s="293"/>
      <c r="T63" s="293"/>
    </row>
    <row r="64" spans="1:25" x14ac:dyDescent="0.2">
      <c r="M64" s="604"/>
      <c r="P64" s="604"/>
      <c r="R64" s="293"/>
      <c r="S64" s="293"/>
      <c r="T64" s="293"/>
    </row>
    <row r="65" spans="1:20" x14ac:dyDescent="0.2">
      <c r="M65" s="604"/>
      <c r="P65" s="604"/>
      <c r="R65" s="293"/>
      <c r="S65" s="293"/>
      <c r="T65" s="293"/>
    </row>
    <row r="66" spans="1:20" x14ac:dyDescent="0.2">
      <c r="M66" s="604"/>
      <c r="P66" s="604"/>
      <c r="R66" s="293"/>
      <c r="S66" s="293"/>
      <c r="T66" s="293"/>
    </row>
    <row r="67" spans="1:20" x14ac:dyDescent="0.2">
      <c r="M67" s="604"/>
      <c r="P67" s="604"/>
      <c r="R67" s="293"/>
      <c r="S67" s="293"/>
      <c r="T67" s="293"/>
    </row>
    <row r="68" spans="1:20" x14ac:dyDescent="0.2">
      <c r="K68" s="433"/>
      <c r="M68" s="604"/>
      <c r="P68" s="604"/>
      <c r="R68" s="293"/>
      <c r="S68" s="293"/>
      <c r="T68" s="293"/>
    </row>
    <row r="69" spans="1:20" x14ac:dyDescent="0.2">
      <c r="K69" s="433"/>
      <c r="M69" s="604"/>
      <c r="P69" s="604"/>
      <c r="R69" s="293"/>
      <c r="S69" s="293"/>
      <c r="T69" s="293"/>
    </row>
    <row r="70" spans="1:20" x14ac:dyDescent="0.2">
      <c r="K70" s="433"/>
      <c r="M70" s="604"/>
      <c r="P70" s="597"/>
      <c r="R70" s="293"/>
      <c r="S70" s="293"/>
      <c r="T70" s="293"/>
    </row>
    <row r="71" spans="1:20" x14ac:dyDescent="0.2">
      <c r="M71" s="604"/>
      <c r="P71" s="604"/>
      <c r="R71" s="293"/>
      <c r="S71" s="293"/>
      <c r="T71" s="293"/>
    </row>
    <row r="72" spans="1:20" x14ac:dyDescent="0.2">
      <c r="J72" s="225"/>
      <c r="K72" s="225"/>
      <c r="L72" s="225"/>
      <c r="M72" s="625"/>
      <c r="N72" s="225"/>
      <c r="O72" s="225"/>
      <c r="P72" s="626"/>
      <c r="R72" s="293"/>
      <c r="S72" s="293"/>
      <c r="T72" s="293"/>
    </row>
    <row r="73" spans="1:20" x14ac:dyDescent="0.2">
      <c r="A73" s="410"/>
      <c r="B73" s="262"/>
      <c r="C73" s="262"/>
      <c r="D73" s="433"/>
      <c r="E73" s="433"/>
      <c r="F73" s="433"/>
      <c r="G73" s="433"/>
      <c r="H73" s="433"/>
      <c r="I73" s="433"/>
      <c r="J73" s="225"/>
      <c r="K73" s="225"/>
      <c r="L73" s="225"/>
      <c r="M73" s="626"/>
      <c r="N73" s="225"/>
      <c r="O73" s="225"/>
      <c r="P73" s="626"/>
      <c r="R73" s="293"/>
      <c r="S73" s="293"/>
      <c r="T73" s="293"/>
    </row>
    <row r="74" spans="1:20" x14ac:dyDescent="0.2">
      <c r="A74" s="281"/>
      <c r="B74" s="281"/>
      <c r="C74" s="281"/>
      <c r="D74" s="258"/>
      <c r="E74" s="258"/>
      <c r="F74" s="258"/>
      <c r="G74" s="258"/>
      <c r="H74" s="258"/>
      <c r="I74" s="258"/>
      <c r="J74" s="258"/>
      <c r="K74" s="258"/>
      <c r="L74" s="258"/>
      <c r="M74" s="627"/>
      <c r="N74" s="258"/>
      <c r="O74" s="258"/>
      <c r="P74" s="627"/>
      <c r="R74" s="293"/>
      <c r="S74" s="293"/>
      <c r="T74" s="293"/>
    </row>
    <row r="75" spans="1:20" x14ac:dyDescent="0.2">
      <c r="A75" s="410"/>
      <c r="B75" s="262"/>
      <c r="C75" s="262"/>
      <c r="D75" s="433"/>
      <c r="E75" s="433"/>
      <c r="F75" s="433"/>
      <c r="G75" s="433"/>
      <c r="H75" s="433"/>
      <c r="I75" s="433"/>
      <c r="J75" s="225"/>
      <c r="K75" s="225"/>
      <c r="L75" s="225"/>
      <c r="M75" s="626"/>
      <c r="N75" s="225"/>
      <c r="O75" s="225"/>
      <c r="P75" s="626"/>
      <c r="R75" s="293"/>
      <c r="S75" s="293"/>
      <c r="T75" s="293"/>
    </row>
    <row r="76" spans="1:20" x14ac:dyDescent="0.2">
      <c r="A76" s="410"/>
      <c r="B76" s="262"/>
      <c r="C76" s="262"/>
      <c r="D76" s="433"/>
      <c r="E76" s="433"/>
      <c r="F76" s="433"/>
      <c r="G76" s="433"/>
      <c r="H76" s="433"/>
      <c r="I76" s="433"/>
      <c r="J76" s="225"/>
      <c r="K76" s="225"/>
      <c r="L76" s="225"/>
      <c r="M76" s="626"/>
      <c r="N76" s="225"/>
      <c r="O76" s="225"/>
      <c r="P76" s="626"/>
      <c r="R76" s="293"/>
      <c r="S76" s="293"/>
      <c r="T76" s="293"/>
    </row>
    <row r="77" spans="1:20" x14ac:dyDescent="0.2">
      <c r="B77" s="262"/>
      <c r="C77" s="262"/>
      <c r="D77" s="433"/>
      <c r="E77" s="433"/>
      <c r="F77" s="433"/>
      <c r="G77" s="433"/>
      <c r="H77" s="433"/>
      <c r="I77" s="433"/>
      <c r="M77" s="604"/>
      <c r="P77" s="604"/>
      <c r="R77" s="293"/>
      <c r="S77" s="293"/>
      <c r="T77" s="293"/>
    </row>
    <row r="78" spans="1:20" x14ac:dyDescent="0.2">
      <c r="M78" s="604"/>
      <c r="P78" s="604"/>
      <c r="R78" s="293"/>
      <c r="S78" s="293"/>
      <c r="T78" s="293"/>
    </row>
    <row r="79" spans="1:20" x14ac:dyDescent="0.2">
      <c r="M79" s="604"/>
      <c r="P79" s="604"/>
      <c r="R79" s="293"/>
      <c r="S79" s="293"/>
      <c r="T79" s="293"/>
    </row>
    <row r="80" spans="1:20" x14ac:dyDescent="0.2">
      <c r="M80" s="604"/>
      <c r="P80" s="604"/>
      <c r="R80" s="293"/>
      <c r="S80" s="293"/>
      <c r="T80" s="293"/>
    </row>
    <row r="81" spans="10:22" x14ac:dyDescent="0.2">
      <c r="M81" s="604"/>
      <c r="P81" s="604"/>
      <c r="R81" s="293"/>
      <c r="S81" s="293"/>
      <c r="T81" s="293"/>
    </row>
    <row r="82" spans="10:22" x14ac:dyDescent="0.2">
      <c r="M82" s="604"/>
      <c r="P82" s="604"/>
      <c r="R82" s="293"/>
      <c r="S82" s="293"/>
      <c r="T82" s="293"/>
    </row>
    <row r="83" spans="10:22" x14ac:dyDescent="0.2">
      <c r="M83" s="604"/>
      <c r="P83" s="604"/>
      <c r="R83" s="293"/>
      <c r="S83" s="293"/>
    </row>
    <row r="84" spans="10:22" x14ac:dyDescent="0.2">
      <c r="J84" s="628"/>
      <c r="K84" s="628"/>
      <c r="L84" s="614"/>
      <c r="M84" s="597"/>
      <c r="N84" s="605"/>
      <c r="O84" s="605"/>
      <c r="P84" s="597"/>
      <c r="R84" s="617"/>
      <c r="S84" s="617"/>
      <c r="T84" s="617"/>
      <c r="U84" s="617"/>
      <c r="V84" s="617"/>
    </row>
    <row r="85" spans="10:22" x14ac:dyDescent="0.2">
      <c r="J85" s="628"/>
      <c r="K85" s="628"/>
      <c r="L85" s="614"/>
      <c r="M85" s="597"/>
      <c r="N85" s="605"/>
      <c r="O85" s="605"/>
      <c r="P85" s="597"/>
      <c r="R85" s="617"/>
      <c r="S85" s="617"/>
      <c r="T85" s="617"/>
      <c r="U85" s="617"/>
      <c r="V85" s="617"/>
    </row>
    <row r="86" spans="10:22" x14ac:dyDescent="0.2">
      <c r="J86" s="628"/>
      <c r="K86" s="628"/>
      <c r="L86" s="614"/>
      <c r="M86" s="597"/>
      <c r="N86" s="605"/>
      <c r="O86" s="605"/>
      <c r="P86" s="597"/>
      <c r="R86" s="617"/>
      <c r="S86" s="617"/>
      <c r="T86" s="617"/>
      <c r="U86" s="617"/>
      <c r="V86" s="617"/>
    </row>
    <row r="87" spans="10:22" x14ac:dyDescent="0.2">
      <c r="J87" s="628"/>
      <c r="K87" s="628"/>
      <c r="L87" s="614"/>
      <c r="M87" s="597"/>
      <c r="N87" s="605"/>
      <c r="O87" s="605"/>
      <c r="P87" s="597"/>
      <c r="R87" s="617"/>
      <c r="S87" s="617"/>
      <c r="T87" s="617"/>
      <c r="U87" s="617"/>
      <c r="V87" s="617"/>
    </row>
    <row r="88" spans="10:22" x14ac:dyDescent="0.2">
      <c r="J88" s="628"/>
      <c r="K88" s="628"/>
      <c r="L88" s="614"/>
      <c r="M88" s="597"/>
      <c r="N88" s="605"/>
      <c r="O88" s="605"/>
      <c r="P88" s="597"/>
      <c r="R88" s="617"/>
      <c r="S88" s="617"/>
      <c r="T88" s="617"/>
      <c r="U88" s="617"/>
      <c r="V88" s="617"/>
    </row>
    <row r="89" spans="10:22" x14ac:dyDescent="0.2">
      <c r="J89" s="628"/>
      <c r="K89" s="628"/>
      <c r="L89" s="614"/>
      <c r="M89" s="597"/>
      <c r="N89" s="605"/>
      <c r="O89" s="605"/>
      <c r="P89" s="597"/>
      <c r="R89" s="617"/>
      <c r="S89" s="617"/>
      <c r="T89" s="617"/>
      <c r="U89" s="617"/>
      <c r="V89" s="617"/>
    </row>
    <row r="90" spans="10:22" x14ac:dyDescent="0.2">
      <c r="J90" s="628"/>
      <c r="K90" s="628"/>
      <c r="L90" s="614"/>
      <c r="M90" s="597"/>
      <c r="N90" s="605"/>
      <c r="O90" s="605"/>
      <c r="P90" s="597"/>
      <c r="R90" s="617"/>
      <c r="S90" s="617"/>
      <c r="T90" s="617"/>
      <c r="U90" s="617"/>
      <c r="V90" s="617"/>
    </row>
    <row r="91" spans="10:22" x14ac:dyDescent="0.2">
      <c r="J91" s="628"/>
      <c r="K91" s="628"/>
      <c r="L91" s="614"/>
      <c r="M91" s="597"/>
      <c r="N91" s="605"/>
      <c r="O91" s="605"/>
      <c r="P91" s="597"/>
      <c r="R91" s="617"/>
      <c r="S91" s="617"/>
      <c r="T91" s="617"/>
      <c r="U91" s="617"/>
      <c r="V91" s="617"/>
    </row>
    <row r="92" spans="10:22" x14ac:dyDescent="0.2">
      <c r="J92" s="628"/>
      <c r="K92" s="628"/>
      <c r="L92" s="614"/>
      <c r="M92" s="597"/>
      <c r="N92" s="605"/>
      <c r="O92" s="605"/>
      <c r="P92" s="597"/>
      <c r="R92" s="617"/>
      <c r="S92" s="617"/>
      <c r="T92" s="617"/>
      <c r="U92" s="617"/>
      <c r="V92" s="617"/>
    </row>
    <row r="93" spans="10:22" x14ac:dyDescent="0.2">
      <c r="J93" s="628"/>
      <c r="K93" s="628"/>
      <c r="L93" s="614"/>
      <c r="M93" s="597"/>
      <c r="N93" s="605"/>
      <c r="O93" s="605"/>
      <c r="P93" s="597"/>
      <c r="R93" s="617"/>
      <c r="S93" s="617"/>
      <c r="T93" s="617"/>
      <c r="U93" s="617"/>
      <c r="V93" s="617"/>
    </row>
    <row r="94" spans="10:22" x14ac:dyDescent="0.2">
      <c r="J94" s="628"/>
      <c r="K94" s="628"/>
      <c r="L94" s="614"/>
      <c r="M94" s="597"/>
      <c r="N94" s="605"/>
      <c r="O94" s="605"/>
      <c r="P94" s="597"/>
      <c r="R94" s="617"/>
      <c r="S94" s="617"/>
      <c r="T94" s="617"/>
      <c r="U94" s="617"/>
      <c r="V94" s="617"/>
    </row>
    <row r="95" spans="10:22" x14ac:dyDescent="0.2">
      <c r="J95" s="628"/>
      <c r="K95" s="628"/>
      <c r="L95" s="614"/>
      <c r="M95" s="618"/>
      <c r="N95" s="619"/>
      <c r="O95" s="619"/>
      <c r="P95" s="618"/>
      <c r="R95" s="621"/>
      <c r="S95" s="621"/>
      <c r="T95" s="621"/>
      <c r="U95" s="621"/>
      <c r="V95" s="621"/>
    </row>
    <row r="96" spans="10:22" x14ac:dyDescent="0.2">
      <c r="J96" s="614"/>
      <c r="K96" s="614"/>
      <c r="L96" s="614"/>
      <c r="M96" s="604"/>
      <c r="N96" s="605"/>
      <c r="O96" s="605"/>
      <c r="P96" s="604"/>
      <c r="R96" s="624"/>
      <c r="S96" s="624"/>
      <c r="T96" s="624"/>
      <c r="U96" s="624"/>
      <c r="V96" s="624"/>
    </row>
    <row r="97" spans="10:22" x14ac:dyDescent="0.2">
      <c r="J97" s="614"/>
      <c r="K97" s="614"/>
      <c r="L97" s="614"/>
      <c r="M97" s="604"/>
      <c r="P97" s="604"/>
      <c r="R97" s="624"/>
      <c r="S97" s="624"/>
      <c r="T97" s="624"/>
      <c r="U97" s="624"/>
      <c r="V97" s="624"/>
    </row>
    <row r="98" spans="10:22" x14ac:dyDescent="0.2">
      <c r="J98" s="614"/>
      <c r="K98" s="614"/>
      <c r="L98" s="614"/>
      <c r="M98" s="604"/>
      <c r="P98" s="604"/>
      <c r="R98" s="624"/>
      <c r="S98" s="624"/>
      <c r="T98" s="624"/>
      <c r="U98" s="624"/>
      <c r="V98" s="624"/>
    </row>
    <row r="99" spans="10:22" x14ac:dyDescent="0.2">
      <c r="J99" s="614"/>
      <c r="K99" s="614"/>
      <c r="L99" s="614"/>
      <c r="M99" s="604"/>
      <c r="P99" s="604"/>
      <c r="R99" s="624"/>
      <c r="S99" s="624"/>
      <c r="T99" s="624"/>
      <c r="U99" s="624"/>
      <c r="V99" s="624"/>
    </row>
    <row r="100" spans="10:22" x14ac:dyDescent="0.2">
      <c r="J100" s="614"/>
      <c r="K100" s="614"/>
      <c r="L100" s="614"/>
      <c r="M100" s="597"/>
      <c r="N100" s="605"/>
      <c r="O100" s="605"/>
      <c r="P100" s="597"/>
      <c r="R100" s="617"/>
      <c r="S100" s="617"/>
      <c r="T100" s="617"/>
      <c r="U100" s="617"/>
      <c r="V100" s="617"/>
    </row>
    <row r="101" spans="10:22" x14ac:dyDescent="0.2">
      <c r="J101" s="614"/>
      <c r="K101" s="614"/>
      <c r="L101" s="614"/>
      <c r="M101" s="597"/>
      <c r="N101" s="605"/>
      <c r="O101" s="605"/>
      <c r="P101" s="597"/>
      <c r="R101" s="617"/>
      <c r="S101" s="617"/>
      <c r="T101" s="617"/>
      <c r="U101" s="617"/>
      <c r="V101" s="617"/>
    </row>
    <row r="102" spans="10:22" x14ac:dyDescent="0.2">
      <c r="J102" s="614"/>
      <c r="K102" s="614"/>
      <c r="L102" s="614"/>
      <c r="M102" s="597"/>
      <c r="N102" s="605"/>
      <c r="O102" s="605"/>
      <c r="P102" s="597"/>
      <c r="R102" s="617"/>
      <c r="S102" s="617"/>
      <c r="T102" s="617"/>
      <c r="U102" s="617"/>
      <c r="V102" s="617"/>
    </row>
    <row r="103" spans="10:22" x14ac:dyDescent="0.2">
      <c r="J103" s="614"/>
      <c r="K103" s="614"/>
      <c r="L103" s="614"/>
      <c r="M103" s="597"/>
      <c r="N103" s="605"/>
      <c r="O103" s="605"/>
      <c r="P103" s="597"/>
      <c r="R103" s="617"/>
      <c r="S103" s="617"/>
      <c r="T103" s="617"/>
      <c r="U103" s="617"/>
      <c r="V103" s="617"/>
    </row>
    <row r="104" spans="10:22" x14ac:dyDescent="0.2">
      <c r="J104" s="614"/>
      <c r="K104" s="614"/>
      <c r="L104" s="614"/>
      <c r="M104" s="597"/>
      <c r="N104" s="605"/>
      <c r="O104" s="605"/>
      <c r="P104" s="597"/>
      <c r="R104" s="617"/>
      <c r="S104" s="617"/>
      <c r="T104" s="617"/>
      <c r="U104" s="617"/>
      <c r="V104" s="617"/>
    </row>
    <row r="105" spans="10:22" x14ac:dyDescent="0.2">
      <c r="J105" s="614"/>
      <c r="K105" s="614"/>
      <c r="L105" s="614"/>
      <c r="M105" s="597"/>
      <c r="N105" s="605"/>
      <c r="O105" s="605"/>
      <c r="P105" s="597"/>
      <c r="R105" s="617"/>
      <c r="S105" s="617"/>
      <c r="T105" s="617"/>
      <c r="U105" s="617"/>
      <c r="V105" s="617"/>
    </row>
    <row r="106" spans="10:22" x14ac:dyDescent="0.2">
      <c r="J106" s="614"/>
      <c r="K106" s="614"/>
      <c r="L106" s="614"/>
      <c r="M106" s="597"/>
      <c r="N106" s="605"/>
      <c r="O106" s="605"/>
      <c r="P106" s="597"/>
      <c r="R106" s="617"/>
      <c r="S106" s="617"/>
      <c r="T106" s="617"/>
      <c r="U106" s="617"/>
      <c r="V106" s="617"/>
    </row>
    <row r="107" spans="10:22" x14ac:dyDescent="0.2">
      <c r="J107" s="614"/>
      <c r="K107" s="614"/>
      <c r="L107" s="614"/>
      <c r="M107" s="597"/>
      <c r="N107" s="605"/>
      <c r="O107" s="605"/>
      <c r="P107" s="597"/>
      <c r="R107" s="617"/>
      <c r="S107" s="617"/>
      <c r="T107" s="617"/>
      <c r="U107" s="617"/>
      <c r="V107" s="617"/>
    </row>
    <row r="108" spans="10:22" x14ac:dyDescent="0.2">
      <c r="J108" s="614"/>
      <c r="K108" s="614"/>
      <c r="L108" s="614"/>
      <c r="M108" s="597"/>
      <c r="N108" s="605"/>
      <c r="O108" s="605"/>
      <c r="P108" s="597"/>
      <c r="R108" s="617"/>
      <c r="S108" s="617"/>
      <c r="T108" s="617"/>
      <c r="U108" s="617"/>
      <c r="V108" s="617"/>
    </row>
    <row r="109" spans="10:22" x14ac:dyDescent="0.2">
      <c r="J109" s="614"/>
      <c r="K109" s="614"/>
      <c r="L109" s="614"/>
      <c r="M109" s="597"/>
      <c r="N109" s="605"/>
      <c r="O109" s="605"/>
      <c r="P109" s="597"/>
      <c r="R109" s="617"/>
      <c r="S109" s="617"/>
      <c r="T109" s="617"/>
      <c r="U109" s="617"/>
      <c r="V109" s="617"/>
    </row>
    <row r="110" spans="10:22" x14ac:dyDescent="0.2">
      <c r="J110" s="614"/>
      <c r="K110" s="614"/>
      <c r="L110" s="614"/>
      <c r="M110" s="597"/>
      <c r="N110" s="605"/>
      <c r="O110" s="605"/>
      <c r="P110" s="597"/>
      <c r="R110" s="617"/>
      <c r="S110" s="617"/>
      <c r="T110" s="617"/>
      <c r="U110" s="617"/>
      <c r="V110" s="617"/>
    </row>
    <row r="111" spans="10:22" x14ac:dyDescent="0.2">
      <c r="J111" s="614"/>
      <c r="K111" s="614"/>
      <c r="L111" s="614"/>
      <c r="M111" s="618"/>
      <c r="N111" s="619"/>
      <c r="O111" s="619"/>
      <c r="P111" s="618"/>
      <c r="R111" s="621"/>
      <c r="S111" s="621"/>
      <c r="T111" s="621"/>
      <c r="U111" s="621"/>
      <c r="V111" s="621"/>
    </row>
    <row r="112" spans="10:22" x14ac:dyDescent="0.2">
      <c r="J112" s="623"/>
      <c r="K112" s="623"/>
      <c r="L112" s="623"/>
      <c r="M112" s="604"/>
      <c r="N112" s="605"/>
      <c r="O112" s="605"/>
      <c r="P112" s="604"/>
      <c r="R112" s="624"/>
      <c r="S112" s="624"/>
      <c r="T112" s="624"/>
      <c r="U112" s="624"/>
      <c r="V112" s="624"/>
    </row>
    <row r="113" spans="1:20" x14ac:dyDescent="0.2">
      <c r="M113" s="604"/>
      <c r="P113" s="604"/>
      <c r="R113" s="293"/>
      <c r="S113" s="293"/>
      <c r="T113" s="293"/>
    </row>
    <row r="114" spans="1:20" x14ac:dyDescent="0.2">
      <c r="M114" s="604"/>
      <c r="P114" s="604"/>
      <c r="R114" s="293"/>
      <c r="S114" s="293"/>
      <c r="T114" s="293"/>
    </row>
    <row r="115" spans="1:20" x14ac:dyDescent="0.2">
      <c r="M115" s="604"/>
      <c r="P115" s="604"/>
      <c r="R115" s="293"/>
      <c r="S115" s="293"/>
      <c r="T115" s="293"/>
    </row>
    <row r="116" spans="1:20" x14ac:dyDescent="0.2">
      <c r="M116" s="604"/>
      <c r="P116" s="604"/>
      <c r="R116" s="293"/>
      <c r="S116" s="293"/>
      <c r="T116" s="293"/>
    </row>
    <row r="117" spans="1:20" x14ac:dyDescent="0.2">
      <c r="M117" s="604"/>
      <c r="P117" s="604"/>
      <c r="R117" s="293"/>
      <c r="S117" s="293"/>
      <c r="T117" s="293"/>
    </row>
    <row r="118" spans="1:20" x14ac:dyDescent="0.2">
      <c r="M118" s="604"/>
      <c r="P118" s="604"/>
      <c r="R118" s="293"/>
      <c r="S118" s="293"/>
      <c r="T118" s="293"/>
    </row>
    <row r="119" spans="1:20" x14ac:dyDescent="0.2">
      <c r="M119" s="604"/>
      <c r="P119" s="604"/>
      <c r="R119" s="293"/>
      <c r="S119" s="293"/>
      <c r="T119" s="293"/>
    </row>
    <row r="120" spans="1:20" x14ac:dyDescent="0.2">
      <c r="M120" s="604"/>
      <c r="P120" s="604"/>
      <c r="R120" s="293"/>
      <c r="S120" s="293"/>
      <c r="T120" s="293"/>
    </row>
    <row r="121" spans="1:20" x14ac:dyDescent="0.2">
      <c r="M121" s="604"/>
      <c r="P121" s="604"/>
      <c r="R121" s="293"/>
      <c r="S121" s="293"/>
      <c r="T121" s="293"/>
    </row>
    <row r="122" spans="1:20" x14ac:dyDescent="0.2">
      <c r="M122" s="604"/>
      <c r="P122" s="604"/>
      <c r="R122" s="293"/>
      <c r="S122" s="293"/>
      <c r="T122" s="293"/>
    </row>
    <row r="123" spans="1:20" x14ac:dyDescent="0.2">
      <c r="K123" s="433"/>
      <c r="M123" s="604"/>
      <c r="P123" s="604"/>
      <c r="R123" s="293"/>
      <c r="S123" s="293"/>
      <c r="T123" s="293"/>
    </row>
    <row r="124" spans="1:20" x14ac:dyDescent="0.2">
      <c r="K124" s="433"/>
      <c r="M124" s="604"/>
      <c r="P124" s="604"/>
      <c r="R124" s="293"/>
      <c r="S124" s="293"/>
      <c r="T124" s="293"/>
    </row>
    <row r="125" spans="1:20" x14ac:dyDescent="0.2">
      <c r="K125" s="433"/>
      <c r="M125" s="604"/>
      <c r="P125" s="597"/>
      <c r="R125" s="293"/>
      <c r="S125" s="293"/>
      <c r="T125" s="293"/>
    </row>
    <row r="126" spans="1:20" x14ac:dyDescent="0.2">
      <c r="M126" s="604"/>
      <c r="P126" s="604"/>
      <c r="R126" s="293"/>
      <c r="S126" s="293"/>
      <c r="T126" s="293"/>
    </row>
    <row r="127" spans="1:20" x14ac:dyDescent="0.2">
      <c r="J127" s="225"/>
      <c r="K127" s="225"/>
      <c r="L127" s="225"/>
      <c r="M127" s="625"/>
      <c r="N127" s="225"/>
      <c r="O127" s="225"/>
      <c r="P127" s="626"/>
      <c r="R127" s="293"/>
      <c r="S127" s="293"/>
      <c r="T127" s="293"/>
    </row>
    <row r="128" spans="1:20" x14ac:dyDescent="0.2">
      <c r="A128" s="410"/>
      <c r="B128" s="262"/>
      <c r="C128" s="262"/>
      <c r="D128" s="433"/>
      <c r="E128" s="433"/>
      <c r="F128" s="433"/>
      <c r="G128" s="433"/>
      <c r="H128" s="433"/>
      <c r="I128" s="433"/>
      <c r="J128" s="225"/>
      <c r="K128" s="225"/>
      <c r="L128" s="225"/>
      <c r="M128" s="626"/>
      <c r="N128" s="225"/>
      <c r="O128" s="225"/>
      <c r="P128" s="626"/>
      <c r="R128" s="293"/>
      <c r="S128" s="293"/>
      <c r="T128" s="293"/>
    </row>
    <row r="129" spans="1:20" x14ac:dyDescent="0.2">
      <c r="A129" s="281"/>
      <c r="B129" s="281"/>
      <c r="C129" s="281"/>
      <c r="D129" s="258"/>
      <c r="E129" s="258"/>
      <c r="F129" s="258"/>
      <c r="G129" s="258"/>
      <c r="H129" s="258"/>
      <c r="I129" s="258"/>
      <c r="J129" s="258"/>
      <c r="K129" s="258"/>
      <c r="L129" s="258"/>
      <c r="M129" s="627"/>
      <c r="N129" s="258"/>
      <c r="O129" s="258"/>
      <c r="P129" s="627"/>
      <c r="R129" s="293"/>
      <c r="S129" s="293"/>
      <c r="T129" s="293"/>
    </row>
    <row r="130" spans="1:20" x14ac:dyDescent="0.2">
      <c r="A130" s="410"/>
      <c r="B130" s="262"/>
      <c r="C130" s="262"/>
      <c r="D130" s="433"/>
      <c r="E130" s="433"/>
      <c r="F130" s="433"/>
      <c r="G130" s="433"/>
      <c r="H130" s="433"/>
      <c r="I130" s="433"/>
      <c r="J130" s="225"/>
      <c r="K130" s="225"/>
      <c r="L130" s="225"/>
      <c r="M130" s="626"/>
      <c r="N130" s="225"/>
      <c r="O130" s="225"/>
      <c r="P130" s="626"/>
      <c r="R130" s="293"/>
      <c r="S130" s="293"/>
      <c r="T130" s="293"/>
    </row>
    <row r="131" spans="1:20" x14ac:dyDescent="0.2">
      <c r="A131" s="410"/>
      <c r="B131" s="262"/>
      <c r="C131" s="262"/>
      <c r="D131" s="433"/>
      <c r="E131" s="433"/>
      <c r="F131" s="433"/>
      <c r="G131" s="433"/>
      <c r="H131" s="433"/>
      <c r="I131" s="433"/>
      <c r="J131" s="225"/>
      <c r="K131" s="225"/>
      <c r="L131" s="225"/>
      <c r="M131" s="626"/>
      <c r="N131" s="225"/>
      <c r="O131" s="225"/>
      <c r="P131" s="626"/>
      <c r="R131" s="293"/>
      <c r="S131" s="293"/>
      <c r="T131" s="293"/>
    </row>
    <row r="132" spans="1:20" x14ac:dyDescent="0.2">
      <c r="B132" s="262"/>
      <c r="C132" s="262"/>
      <c r="D132" s="433"/>
      <c r="E132" s="433"/>
      <c r="F132" s="433"/>
      <c r="G132" s="433"/>
      <c r="H132" s="433"/>
      <c r="I132" s="433"/>
      <c r="M132" s="604"/>
      <c r="P132" s="604"/>
      <c r="R132" s="293"/>
      <c r="S132" s="293"/>
      <c r="T132" s="293"/>
    </row>
    <row r="133" spans="1:20" x14ac:dyDescent="0.2">
      <c r="M133" s="604"/>
      <c r="P133" s="604"/>
      <c r="R133" s="293"/>
      <c r="S133" s="293"/>
      <c r="T133" s="293"/>
    </row>
    <row r="134" spans="1:20" x14ac:dyDescent="0.2">
      <c r="M134" s="604"/>
      <c r="P134" s="604"/>
      <c r="R134" s="293"/>
      <c r="S134" s="293"/>
      <c r="T134" s="293"/>
    </row>
    <row r="135" spans="1:20" x14ac:dyDescent="0.2">
      <c r="M135" s="604"/>
      <c r="P135" s="604"/>
      <c r="R135" s="293"/>
      <c r="S135" s="293"/>
      <c r="T135" s="293"/>
    </row>
    <row r="136" spans="1:20" x14ac:dyDescent="0.2">
      <c r="M136" s="604"/>
      <c r="P136" s="604"/>
      <c r="R136" s="293"/>
      <c r="S136" s="293"/>
      <c r="T136" s="293"/>
    </row>
    <row r="137" spans="1:20" x14ac:dyDescent="0.2">
      <c r="M137" s="604"/>
      <c r="P137" s="604"/>
      <c r="R137" s="293"/>
      <c r="S137" s="293"/>
      <c r="T137" s="293"/>
    </row>
    <row r="138" spans="1:20" x14ac:dyDescent="0.2">
      <c r="M138" s="604"/>
      <c r="P138" s="604"/>
      <c r="R138" s="293"/>
      <c r="S138" s="293"/>
      <c r="T138" s="293"/>
    </row>
    <row r="139" spans="1:20" x14ac:dyDescent="0.2">
      <c r="J139" s="628"/>
      <c r="K139" s="628"/>
      <c r="L139" s="614"/>
      <c r="M139" s="629"/>
      <c r="N139" s="605"/>
      <c r="O139" s="605"/>
      <c r="P139" s="629"/>
      <c r="R139" s="293"/>
      <c r="S139" s="293"/>
      <c r="T139" s="293"/>
    </row>
    <row r="140" spans="1:20" x14ac:dyDescent="0.2">
      <c r="J140" s="628"/>
      <c r="K140" s="628"/>
      <c r="L140" s="614"/>
      <c r="M140" s="629"/>
      <c r="N140" s="605"/>
      <c r="O140" s="605"/>
      <c r="P140" s="629"/>
      <c r="R140" s="293"/>
      <c r="S140" s="293"/>
      <c r="T140" s="293"/>
    </row>
    <row r="141" spans="1:20" x14ac:dyDescent="0.2">
      <c r="J141" s="628"/>
      <c r="K141" s="628"/>
      <c r="L141" s="614"/>
      <c r="M141" s="629"/>
      <c r="N141" s="605"/>
      <c r="O141" s="605"/>
      <c r="P141" s="629"/>
      <c r="R141" s="293"/>
      <c r="S141" s="293"/>
      <c r="T141" s="293"/>
    </row>
    <row r="142" spans="1:20" x14ac:dyDescent="0.2">
      <c r="J142" s="628"/>
      <c r="K142" s="628"/>
      <c r="L142" s="614"/>
      <c r="M142" s="629"/>
      <c r="N142" s="605"/>
      <c r="O142" s="605"/>
      <c r="P142" s="629"/>
      <c r="R142" s="293"/>
      <c r="S142" s="293"/>
      <c r="T142" s="293"/>
    </row>
    <row r="143" spans="1:20" x14ac:dyDescent="0.2">
      <c r="J143" s="628"/>
      <c r="K143" s="628"/>
      <c r="L143" s="614"/>
      <c r="M143" s="629"/>
      <c r="N143" s="605"/>
      <c r="O143" s="605"/>
      <c r="P143" s="629"/>
      <c r="R143" s="293"/>
      <c r="S143" s="293"/>
      <c r="T143" s="293"/>
    </row>
    <row r="144" spans="1:20" x14ac:dyDescent="0.2">
      <c r="J144" s="628"/>
      <c r="K144" s="628"/>
      <c r="L144" s="614"/>
      <c r="M144" s="629"/>
      <c r="N144" s="605"/>
      <c r="O144" s="605"/>
      <c r="P144" s="629"/>
      <c r="R144" s="293"/>
      <c r="S144" s="293"/>
      <c r="T144" s="293"/>
    </row>
    <row r="145" spans="10:20" x14ac:dyDescent="0.2">
      <c r="J145" s="628"/>
      <c r="K145" s="628"/>
      <c r="L145" s="614"/>
      <c r="M145" s="629"/>
      <c r="N145" s="605"/>
      <c r="O145" s="605"/>
      <c r="P145" s="629"/>
      <c r="R145" s="293"/>
      <c r="S145" s="293"/>
      <c r="T145" s="293"/>
    </row>
    <row r="146" spans="10:20" x14ac:dyDescent="0.2">
      <c r="J146" s="628"/>
      <c r="K146" s="628"/>
      <c r="L146" s="614"/>
      <c r="M146" s="629"/>
      <c r="N146" s="605"/>
      <c r="O146" s="605"/>
      <c r="P146" s="629"/>
      <c r="R146" s="293"/>
      <c r="S146" s="293"/>
      <c r="T146" s="293"/>
    </row>
    <row r="147" spans="10:20" x14ac:dyDescent="0.2">
      <c r="J147" s="628"/>
      <c r="K147" s="628"/>
      <c r="L147" s="614"/>
      <c r="M147" s="629"/>
      <c r="N147" s="605"/>
      <c r="O147" s="605"/>
      <c r="P147" s="629"/>
      <c r="R147" s="293"/>
      <c r="S147" s="293"/>
      <c r="T147" s="293"/>
    </row>
    <row r="148" spans="10:20" x14ac:dyDescent="0.2">
      <c r="J148" s="628"/>
      <c r="K148" s="628"/>
      <c r="L148" s="614"/>
      <c r="M148" s="629"/>
      <c r="N148" s="605"/>
      <c r="O148" s="605"/>
      <c r="P148" s="629"/>
      <c r="R148" s="293"/>
      <c r="S148" s="293"/>
      <c r="T148" s="293"/>
    </row>
    <row r="149" spans="10:20" x14ac:dyDescent="0.2">
      <c r="J149" s="628"/>
      <c r="K149" s="628"/>
      <c r="L149" s="614"/>
      <c r="M149" s="629"/>
      <c r="N149" s="605"/>
      <c r="O149" s="605"/>
      <c r="P149" s="629"/>
      <c r="R149" s="293"/>
      <c r="S149" s="293"/>
      <c r="T149" s="293"/>
    </row>
    <row r="150" spans="10:20" x14ac:dyDescent="0.2">
      <c r="J150" s="628"/>
      <c r="K150" s="628"/>
      <c r="L150" s="614"/>
      <c r="M150" s="630"/>
      <c r="N150" s="619"/>
      <c r="O150" s="619"/>
      <c r="P150" s="630"/>
      <c r="R150" s="293"/>
      <c r="S150" s="293"/>
      <c r="T150" s="293"/>
    </row>
    <row r="151" spans="10:20" x14ac:dyDescent="0.2">
      <c r="J151" s="614"/>
      <c r="K151" s="614"/>
      <c r="L151" s="614"/>
      <c r="M151" s="604"/>
      <c r="N151" s="605"/>
      <c r="O151" s="605"/>
      <c r="P151" s="604"/>
      <c r="R151" s="293"/>
      <c r="S151" s="293"/>
      <c r="T151" s="293"/>
    </row>
    <row r="152" spans="10:20" x14ac:dyDescent="0.2">
      <c r="J152" s="614"/>
      <c r="K152" s="614"/>
      <c r="L152" s="614"/>
      <c r="M152" s="604"/>
      <c r="P152" s="604"/>
      <c r="R152" s="293"/>
      <c r="S152" s="293"/>
      <c r="T152" s="293"/>
    </row>
    <row r="153" spans="10:20" x14ac:dyDescent="0.2">
      <c r="J153" s="614"/>
      <c r="K153" s="614"/>
      <c r="L153" s="614"/>
      <c r="M153" s="604"/>
      <c r="P153" s="604"/>
      <c r="R153" s="293"/>
      <c r="S153" s="293"/>
      <c r="T153" s="293"/>
    </row>
    <row r="154" spans="10:20" x14ac:dyDescent="0.2">
      <c r="J154" s="614"/>
      <c r="K154" s="614"/>
      <c r="L154" s="614"/>
      <c r="M154" s="604"/>
      <c r="P154" s="604"/>
      <c r="R154" s="293"/>
      <c r="S154" s="293"/>
      <c r="T154" s="293"/>
    </row>
    <row r="155" spans="10:20" x14ac:dyDescent="0.2">
      <c r="J155" s="614"/>
      <c r="K155" s="614"/>
      <c r="L155" s="614"/>
      <c r="M155" s="629"/>
      <c r="N155" s="605"/>
      <c r="O155" s="605"/>
      <c r="P155" s="629"/>
      <c r="R155" s="293"/>
      <c r="S155" s="293"/>
      <c r="T155" s="293"/>
    </row>
    <row r="156" spans="10:20" x14ac:dyDescent="0.2">
      <c r="J156" s="614"/>
      <c r="K156" s="614"/>
      <c r="L156" s="614"/>
      <c r="M156" s="629"/>
      <c r="N156" s="605"/>
      <c r="O156" s="605"/>
      <c r="P156" s="629"/>
      <c r="R156" s="293"/>
      <c r="S156" s="293"/>
      <c r="T156" s="293"/>
    </row>
    <row r="157" spans="10:20" x14ac:dyDescent="0.2">
      <c r="J157" s="614"/>
      <c r="K157" s="614"/>
      <c r="L157" s="614"/>
      <c r="M157" s="629"/>
      <c r="N157" s="605"/>
      <c r="O157" s="605"/>
      <c r="P157" s="629"/>
      <c r="R157" s="293"/>
      <c r="S157" s="293"/>
      <c r="T157" s="293"/>
    </row>
    <row r="158" spans="10:20" x14ac:dyDescent="0.2">
      <c r="J158" s="614"/>
      <c r="K158" s="614"/>
      <c r="L158" s="614"/>
      <c r="M158" s="629"/>
      <c r="N158" s="605"/>
      <c r="O158" s="605"/>
      <c r="P158" s="629"/>
      <c r="R158" s="293"/>
      <c r="S158" s="293"/>
      <c r="T158" s="293"/>
    </row>
    <row r="159" spans="10:20" x14ac:dyDescent="0.2">
      <c r="J159" s="614"/>
      <c r="K159" s="614"/>
      <c r="L159" s="614"/>
      <c r="M159" s="629"/>
      <c r="N159" s="605"/>
      <c r="O159" s="605"/>
      <c r="P159" s="629"/>
      <c r="R159" s="293"/>
      <c r="S159" s="293"/>
      <c r="T159" s="293"/>
    </row>
    <row r="160" spans="10:20" x14ac:dyDescent="0.2">
      <c r="J160" s="614"/>
      <c r="K160" s="614"/>
      <c r="L160" s="614"/>
      <c r="M160" s="629"/>
      <c r="N160" s="605"/>
      <c r="O160" s="605"/>
      <c r="P160" s="629"/>
      <c r="R160" s="293"/>
      <c r="S160" s="293"/>
      <c r="T160" s="293"/>
    </row>
    <row r="161" spans="10:20" x14ac:dyDescent="0.2">
      <c r="J161" s="614"/>
      <c r="K161" s="614"/>
      <c r="L161" s="614"/>
      <c r="M161" s="629"/>
      <c r="N161" s="605"/>
      <c r="O161" s="605"/>
      <c r="P161" s="629"/>
      <c r="R161" s="293"/>
      <c r="S161" s="293"/>
      <c r="T161" s="293"/>
    </row>
    <row r="162" spans="10:20" x14ac:dyDescent="0.2">
      <c r="J162" s="614"/>
      <c r="K162" s="614"/>
      <c r="L162" s="614"/>
      <c r="M162" s="629"/>
      <c r="N162" s="605"/>
      <c r="O162" s="605"/>
      <c r="P162" s="629"/>
      <c r="R162" s="293"/>
      <c r="S162" s="293"/>
      <c r="T162" s="293"/>
    </row>
    <row r="163" spans="10:20" x14ac:dyDescent="0.2">
      <c r="J163" s="614"/>
      <c r="K163" s="614"/>
      <c r="L163" s="614"/>
      <c r="M163" s="629"/>
      <c r="N163" s="605"/>
      <c r="O163" s="605"/>
      <c r="P163" s="629"/>
      <c r="R163" s="293"/>
      <c r="S163" s="293"/>
      <c r="T163" s="293"/>
    </row>
    <row r="164" spans="10:20" x14ac:dyDescent="0.2">
      <c r="J164" s="614"/>
      <c r="K164" s="614"/>
      <c r="L164" s="614"/>
      <c r="M164" s="629"/>
      <c r="N164" s="605"/>
      <c r="O164" s="605"/>
      <c r="P164" s="629"/>
      <c r="R164" s="293"/>
      <c r="S164" s="293"/>
      <c r="T164" s="293"/>
    </row>
    <row r="165" spans="10:20" x14ac:dyDescent="0.2">
      <c r="J165" s="614"/>
      <c r="K165" s="614"/>
      <c r="L165" s="614"/>
      <c r="M165" s="629"/>
      <c r="N165" s="605"/>
      <c r="O165" s="605"/>
      <c r="P165" s="629"/>
      <c r="R165" s="293"/>
      <c r="S165" s="293"/>
      <c r="T165" s="293"/>
    </row>
    <row r="166" spans="10:20" x14ac:dyDescent="0.2">
      <c r="J166" s="614"/>
      <c r="K166" s="614"/>
      <c r="L166" s="614"/>
      <c r="M166" s="630"/>
      <c r="N166" s="619"/>
      <c r="O166" s="619"/>
      <c r="P166" s="630"/>
      <c r="R166" s="293"/>
      <c r="S166" s="293"/>
      <c r="T166" s="293"/>
    </row>
    <row r="167" spans="10:20" x14ac:dyDescent="0.2">
      <c r="J167" s="623"/>
      <c r="K167" s="623"/>
      <c r="L167" s="623"/>
      <c r="M167" s="604"/>
      <c r="N167" s="605"/>
      <c r="O167" s="605"/>
      <c r="P167" s="604"/>
      <c r="R167" s="293"/>
      <c r="S167" s="293"/>
      <c r="T167" s="293"/>
    </row>
    <row r="168" spans="10:20" x14ac:dyDescent="0.2">
      <c r="M168" s="604"/>
      <c r="P168" s="604"/>
      <c r="R168" s="293"/>
      <c r="S168" s="293"/>
      <c r="T168" s="293"/>
    </row>
    <row r="169" spans="10:20" x14ac:dyDescent="0.2">
      <c r="M169" s="604"/>
      <c r="P169" s="604"/>
      <c r="R169" s="293"/>
      <c r="S169" s="293"/>
      <c r="T169" s="293"/>
    </row>
    <row r="170" spans="10:20" x14ac:dyDescent="0.2">
      <c r="M170" s="604"/>
      <c r="P170" s="604"/>
      <c r="R170" s="293"/>
      <c r="S170" s="293"/>
      <c r="T170" s="293"/>
    </row>
    <row r="171" spans="10:20" x14ac:dyDescent="0.2">
      <c r="M171" s="604"/>
      <c r="P171" s="604"/>
      <c r="R171" s="293"/>
      <c r="S171" s="293"/>
      <c r="T171" s="293"/>
    </row>
    <row r="172" spans="10:20" x14ac:dyDescent="0.2">
      <c r="M172" s="604"/>
      <c r="P172" s="604"/>
      <c r="R172" s="293"/>
      <c r="S172" s="293"/>
      <c r="T172" s="293"/>
    </row>
    <row r="173" spans="10:20" x14ac:dyDescent="0.2">
      <c r="M173" s="604"/>
      <c r="P173" s="604"/>
      <c r="R173" s="293"/>
      <c r="S173" s="293"/>
      <c r="T173" s="293"/>
    </row>
    <row r="174" spans="10:20" x14ac:dyDescent="0.2">
      <c r="M174" s="604"/>
      <c r="P174" s="604"/>
      <c r="R174" s="293"/>
      <c r="S174" s="293"/>
      <c r="T174" s="293"/>
    </row>
    <row r="175" spans="10:20" x14ac:dyDescent="0.2">
      <c r="M175" s="604"/>
      <c r="P175" s="604"/>
      <c r="R175" s="293"/>
      <c r="S175" s="293"/>
      <c r="T175" s="293"/>
    </row>
    <row r="176" spans="10:20" x14ac:dyDescent="0.2">
      <c r="M176" s="604"/>
      <c r="P176" s="604"/>
      <c r="R176" s="293"/>
      <c r="S176" s="293"/>
      <c r="T176" s="293"/>
    </row>
    <row r="177" spans="1:20" x14ac:dyDescent="0.2">
      <c r="M177" s="604"/>
      <c r="P177" s="604"/>
      <c r="R177" s="293"/>
      <c r="S177" s="293"/>
      <c r="T177" s="293"/>
    </row>
    <row r="178" spans="1:20" x14ac:dyDescent="0.2">
      <c r="K178" s="433"/>
      <c r="M178" s="604"/>
      <c r="P178" s="604"/>
      <c r="R178" s="293"/>
      <c r="S178" s="293"/>
      <c r="T178" s="293"/>
    </row>
    <row r="179" spans="1:20" x14ac:dyDescent="0.2">
      <c r="K179" s="433"/>
      <c r="M179" s="604"/>
      <c r="P179" s="604"/>
      <c r="R179" s="293"/>
      <c r="S179" s="293"/>
      <c r="T179" s="293"/>
    </row>
    <row r="180" spans="1:20" x14ac:dyDescent="0.2">
      <c r="K180" s="433"/>
      <c r="M180" s="604"/>
      <c r="P180" s="597"/>
      <c r="R180" s="293"/>
      <c r="S180" s="293"/>
      <c r="T180" s="293"/>
    </row>
    <row r="181" spans="1:20" x14ac:dyDescent="0.2">
      <c r="M181" s="604"/>
      <c r="P181" s="604"/>
      <c r="R181" s="293"/>
      <c r="S181" s="293"/>
      <c r="T181" s="293"/>
    </row>
    <row r="182" spans="1:20" x14ac:dyDescent="0.2">
      <c r="J182" s="225"/>
      <c r="K182" s="225"/>
      <c r="L182" s="225"/>
      <c r="M182" s="625"/>
      <c r="N182" s="225"/>
      <c r="O182" s="225"/>
      <c r="P182" s="626"/>
      <c r="R182" s="293"/>
      <c r="S182" s="293"/>
      <c r="T182" s="293"/>
    </row>
    <row r="183" spans="1:20" x14ac:dyDescent="0.2">
      <c r="A183" s="410"/>
      <c r="B183" s="262"/>
      <c r="C183" s="262"/>
      <c r="D183" s="433"/>
      <c r="E183" s="433"/>
      <c r="F183" s="433"/>
      <c r="G183" s="433"/>
      <c r="H183" s="433"/>
      <c r="I183" s="433"/>
      <c r="J183" s="225"/>
      <c r="K183" s="225"/>
      <c r="L183" s="225"/>
      <c r="M183" s="626"/>
      <c r="N183" s="225"/>
      <c r="O183" s="225"/>
      <c r="P183" s="626"/>
      <c r="R183" s="293"/>
      <c r="S183" s="293"/>
      <c r="T183" s="293"/>
    </row>
    <row r="184" spans="1:20" x14ac:dyDescent="0.2">
      <c r="A184" s="281"/>
      <c r="B184" s="281"/>
      <c r="C184" s="281"/>
      <c r="D184" s="258"/>
      <c r="E184" s="258"/>
      <c r="F184" s="258"/>
      <c r="G184" s="258"/>
      <c r="H184" s="258"/>
      <c r="I184" s="258"/>
      <c r="J184" s="258"/>
      <c r="K184" s="258"/>
      <c r="L184" s="258"/>
      <c r="M184" s="627"/>
      <c r="N184" s="258"/>
      <c r="O184" s="258"/>
      <c r="P184" s="627"/>
      <c r="R184" s="293"/>
      <c r="S184" s="293"/>
      <c r="T184" s="293"/>
    </row>
    <row r="185" spans="1:20" x14ac:dyDescent="0.2">
      <c r="A185" s="410"/>
      <c r="B185" s="262"/>
      <c r="C185" s="262"/>
      <c r="D185" s="433"/>
      <c r="E185" s="433"/>
      <c r="F185" s="433"/>
      <c r="G185" s="433"/>
      <c r="H185" s="433"/>
      <c r="I185" s="433"/>
      <c r="J185" s="225"/>
      <c r="K185" s="225"/>
      <c r="L185" s="225"/>
      <c r="M185" s="626"/>
      <c r="N185" s="225"/>
      <c r="O185" s="225"/>
      <c r="P185" s="626"/>
      <c r="R185" s="293"/>
      <c r="S185" s="293"/>
      <c r="T185" s="293"/>
    </row>
    <row r="186" spans="1:20" x14ac:dyDescent="0.2">
      <c r="A186" s="410"/>
      <c r="B186" s="262"/>
      <c r="C186" s="262"/>
      <c r="D186" s="433"/>
      <c r="E186" s="433"/>
      <c r="F186" s="433"/>
      <c r="G186" s="433"/>
      <c r="H186" s="433"/>
      <c r="I186" s="433"/>
      <c r="J186" s="225"/>
      <c r="K186" s="225"/>
      <c r="L186" s="225"/>
      <c r="M186" s="626"/>
      <c r="N186" s="225"/>
      <c r="O186" s="225"/>
      <c r="P186" s="626"/>
      <c r="R186" s="293"/>
      <c r="S186" s="293"/>
      <c r="T186" s="293"/>
    </row>
    <row r="187" spans="1:20" x14ac:dyDescent="0.2">
      <c r="B187" s="262"/>
      <c r="C187" s="262"/>
      <c r="D187" s="433"/>
      <c r="E187" s="433"/>
      <c r="F187" s="433"/>
      <c r="G187" s="433"/>
      <c r="H187" s="433"/>
      <c r="I187" s="433"/>
      <c r="M187" s="604"/>
      <c r="P187" s="604"/>
      <c r="R187" s="293"/>
      <c r="S187" s="293"/>
      <c r="T187" s="293"/>
    </row>
    <row r="188" spans="1:20" x14ac:dyDescent="0.2">
      <c r="M188" s="604"/>
      <c r="P188" s="604"/>
      <c r="R188" s="293"/>
      <c r="S188" s="293"/>
      <c r="T188" s="293"/>
    </row>
    <row r="189" spans="1:20" x14ac:dyDescent="0.2">
      <c r="M189" s="604"/>
      <c r="P189" s="604"/>
      <c r="R189" s="293"/>
      <c r="S189" s="293"/>
      <c r="T189" s="293"/>
    </row>
    <row r="190" spans="1:20" x14ac:dyDescent="0.2">
      <c r="M190" s="604"/>
      <c r="P190" s="604"/>
      <c r="R190" s="293"/>
      <c r="S190" s="293"/>
      <c r="T190" s="293"/>
    </row>
    <row r="191" spans="1:20" x14ac:dyDescent="0.2">
      <c r="M191" s="604"/>
      <c r="P191" s="604"/>
      <c r="R191" s="293"/>
      <c r="S191" s="293"/>
      <c r="T191" s="293"/>
    </row>
    <row r="192" spans="1:20" x14ac:dyDescent="0.2">
      <c r="M192" s="604"/>
      <c r="P192" s="604"/>
      <c r="R192" s="293"/>
      <c r="S192" s="293"/>
      <c r="T192" s="293"/>
    </row>
    <row r="193" spans="10:20" x14ac:dyDescent="0.2">
      <c r="M193" s="604"/>
      <c r="P193" s="604"/>
      <c r="R193" s="293"/>
      <c r="S193" s="293"/>
      <c r="T193" s="293"/>
    </row>
    <row r="194" spans="10:20" x14ac:dyDescent="0.2">
      <c r="J194" s="628"/>
      <c r="K194" s="628"/>
      <c r="L194" s="614"/>
      <c r="M194" s="629"/>
      <c r="N194" s="605"/>
      <c r="O194" s="605"/>
      <c r="P194" s="629"/>
      <c r="R194" s="293"/>
      <c r="S194" s="293"/>
      <c r="T194" s="293"/>
    </row>
    <row r="195" spans="10:20" x14ac:dyDescent="0.2">
      <c r="J195" s="628"/>
      <c r="K195" s="628"/>
      <c r="L195" s="614"/>
      <c r="M195" s="629"/>
      <c r="N195" s="605"/>
      <c r="O195" s="605"/>
      <c r="P195" s="629"/>
      <c r="R195" s="293"/>
      <c r="S195" s="293"/>
      <c r="T195" s="293"/>
    </row>
    <row r="196" spans="10:20" x14ac:dyDescent="0.2">
      <c r="J196" s="628"/>
      <c r="K196" s="628"/>
      <c r="L196" s="614"/>
      <c r="M196" s="629"/>
      <c r="N196" s="605"/>
      <c r="O196" s="605"/>
      <c r="P196" s="629"/>
      <c r="R196" s="293"/>
      <c r="S196" s="293"/>
      <c r="T196" s="293"/>
    </row>
    <row r="197" spans="10:20" x14ac:dyDescent="0.2">
      <c r="J197" s="628"/>
      <c r="K197" s="628"/>
      <c r="L197" s="614"/>
      <c r="M197" s="629"/>
      <c r="N197" s="605"/>
      <c r="O197" s="605"/>
      <c r="P197" s="629"/>
      <c r="R197" s="293"/>
      <c r="S197" s="293"/>
      <c r="T197" s="293"/>
    </row>
    <row r="198" spans="10:20" x14ac:dyDescent="0.2">
      <c r="J198" s="628"/>
      <c r="K198" s="628"/>
      <c r="L198" s="614"/>
      <c r="M198" s="629"/>
      <c r="N198" s="605"/>
      <c r="O198" s="605"/>
      <c r="P198" s="629"/>
      <c r="R198" s="293"/>
      <c r="S198" s="293"/>
      <c r="T198" s="293"/>
    </row>
    <row r="199" spans="10:20" x14ac:dyDescent="0.2">
      <c r="J199" s="628"/>
      <c r="K199" s="628"/>
      <c r="L199" s="614"/>
      <c r="M199" s="629"/>
      <c r="N199" s="605"/>
      <c r="O199" s="605"/>
      <c r="P199" s="629"/>
      <c r="R199" s="293"/>
      <c r="S199" s="293"/>
      <c r="T199" s="293"/>
    </row>
    <row r="200" spans="10:20" x14ac:dyDescent="0.2">
      <c r="J200" s="628"/>
      <c r="K200" s="628"/>
      <c r="L200" s="614"/>
      <c r="M200" s="629"/>
      <c r="N200" s="605"/>
      <c r="O200" s="605"/>
      <c r="P200" s="629"/>
      <c r="R200" s="293"/>
      <c r="S200" s="293"/>
      <c r="T200" s="293"/>
    </row>
    <row r="201" spans="10:20" x14ac:dyDescent="0.2">
      <c r="J201" s="628"/>
      <c r="K201" s="628"/>
      <c r="L201" s="614"/>
      <c r="M201" s="629"/>
      <c r="N201" s="605"/>
      <c r="O201" s="605"/>
      <c r="P201" s="629"/>
      <c r="R201" s="293"/>
      <c r="S201" s="293"/>
      <c r="T201" s="293"/>
    </row>
    <row r="202" spans="10:20" x14ac:dyDescent="0.2">
      <c r="J202" s="628"/>
      <c r="K202" s="628"/>
      <c r="L202" s="614"/>
      <c r="M202" s="629"/>
      <c r="N202" s="605"/>
      <c r="O202" s="605"/>
      <c r="P202" s="629"/>
      <c r="R202" s="293"/>
      <c r="S202" s="293"/>
      <c r="T202" s="293"/>
    </row>
    <row r="203" spans="10:20" x14ac:dyDescent="0.2">
      <c r="J203" s="628"/>
      <c r="K203" s="628"/>
      <c r="L203" s="614"/>
      <c r="M203" s="629"/>
      <c r="N203" s="605"/>
      <c r="O203" s="605"/>
      <c r="P203" s="629"/>
      <c r="R203" s="293"/>
      <c r="S203" s="293"/>
      <c r="T203" s="293"/>
    </row>
    <row r="204" spans="10:20" x14ac:dyDescent="0.2">
      <c r="J204" s="628"/>
      <c r="K204" s="628"/>
      <c r="L204" s="614"/>
      <c r="M204" s="629"/>
      <c r="N204" s="605"/>
      <c r="O204" s="605"/>
      <c r="P204" s="629"/>
      <c r="R204" s="293"/>
      <c r="S204" s="293"/>
      <c r="T204" s="293"/>
    </row>
    <row r="205" spans="10:20" x14ac:dyDescent="0.2">
      <c r="J205" s="628"/>
      <c r="K205" s="628"/>
      <c r="L205" s="614"/>
      <c r="M205" s="630"/>
      <c r="N205" s="619"/>
      <c r="O205" s="619"/>
      <c r="P205" s="630"/>
      <c r="R205" s="293"/>
      <c r="S205" s="293"/>
      <c r="T205" s="293"/>
    </row>
    <row r="206" spans="10:20" x14ac:dyDescent="0.2">
      <c r="J206" s="614"/>
      <c r="K206" s="614"/>
      <c r="L206" s="614"/>
      <c r="M206" s="604"/>
      <c r="N206" s="605"/>
      <c r="O206" s="605"/>
      <c r="P206" s="604"/>
      <c r="R206" s="293"/>
      <c r="S206" s="293"/>
      <c r="T206" s="293"/>
    </row>
    <row r="207" spans="10:20" x14ac:dyDescent="0.2">
      <c r="J207" s="614"/>
      <c r="K207" s="614"/>
      <c r="L207" s="614"/>
      <c r="M207" s="604"/>
      <c r="P207" s="604"/>
      <c r="R207" s="293"/>
      <c r="S207" s="293"/>
      <c r="T207" s="293"/>
    </row>
    <row r="208" spans="10:20" x14ac:dyDescent="0.2">
      <c r="J208" s="614"/>
      <c r="K208" s="614"/>
      <c r="L208" s="614"/>
      <c r="M208" s="604"/>
      <c r="P208" s="604"/>
      <c r="R208" s="293"/>
      <c r="S208" s="293"/>
      <c r="T208" s="293"/>
    </row>
    <row r="209" spans="10:20" x14ac:dyDescent="0.2">
      <c r="J209" s="614"/>
      <c r="K209" s="614"/>
      <c r="L209" s="614"/>
      <c r="M209" s="604"/>
      <c r="P209" s="604"/>
      <c r="R209" s="293"/>
      <c r="S209" s="293"/>
      <c r="T209" s="293"/>
    </row>
    <row r="210" spans="10:20" x14ac:dyDescent="0.2">
      <c r="J210" s="614"/>
      <c r="K210" s="614"/>
      <c r="L210" s="614"/>
      <c r="M210" s="597"/>
      <c r="N210" s="605"/>
      <c r="O210" s="605"/>
      <c r="P210" s="629"/>
      <c r="R210" s="617"/>
      <c r="S210" s="617"/>
      <c r="T210" s="293"/>
    </row>
    <row r="211" spans="10:20" x14ac:dyDescent="0.2">
      <c r="J211" s="614"/>
      <c r="K211" s="614"/>
      <c r="L211" s="614"/>
      <c r="M211" s="597"/>
      <c r="N211" s="605"/>
      <c r="O211" s="605"/>
      <c r="P211" s="629"/>
      <c r="R211" s="617"/>
      <c r="S211" s="617"/>
      <c r="T211" s="293"/>
    </row>
    <row r="212" spans="10:20" x14ac:dyDescent="0.2">
      <c r="J212" s="614"/>
      <c r="K212" s="614"/>
      <c r="L212" s="614"/>
      <c r="M212" s="597"/>
      <c r="N212" s="605"/>
      <c r="O212" s="605"/>
      <c r="P212" s="629"/>
      <c r="R212" s="617"/>
      <c r="S212" s="617"/>
      <c r="T212" s="293"/>
    </row>
    <row r="213" spans="10:20" x14ac:dyDescent="0.2">
      <c r="J213" s="614"/>
      <c r="K213" s="614"/>
      <c r="L213" s="614"/>
      <c r="M213" s="597"/>
      <c r="N213" s="605"/>
      <c r="O213" s="605"/>
      <c r="P213" s="629"/>
      <c r="R213" s="617"/>
      <c r="S213" s="617"/>
      <c r="T213" s="293"/>
    </row>
    <row r="214" spans="10:20" x14ac:dyDescent="0.2">
      <c r="J214" s="614"/>
      <c r="K214" s="614"/>
      <c r="L214" s="614"/>
      <c r="M214" s="597"/>
      <c r="N214" s="605"/>
      <c r="O214" s="605"/>
      <c r="P214" s="629"/>
      <c r="R214" s="617"/>
      <c r="S214" s="617"/>
      <c r="T214" s="293"/>
    </row>
    <row r="215" spans="10:20" x14ac:dyDescent="0.2">
      <c r="J215" s="614"/>
      <c r="K215" s="614"/>
      <c r="L215" s="614"/>
      <c r="M215" s="597"/>
      <c r="N215" s="605"/>
      <c r="O215" s="605"/>
      <c r="P215" s="629"/>
      <c r="R215" s="617"/>
      <c r="S215" s="617"/>
      <c r="T215" s="293"/>
    </row>
    <row r="216" spans="10:20" x14ac:dyDescent="0.2">
      <c r="J216" s="614"/>
      <c r="K216" s="614"/>
      <c r="L216" s="614"/>
      <c r="M216" s="597"/>
      <c r="N216" s="605"/>
      <c r="O216" s="605"/>
      <c r="P216" s="629"/>
      <c r="R216" s="617"/>
      <c r="S216" s="617"/>
      <c r="T216" s="293"/>
    </row>
    <row r="217" spans="10:20" x14ac:dyDescent="0.2">
      <c r="J217" s="614"/>
      <c r="K217" s="614"/>
      <c r="L217" s="614"/>
      <c r="M217" s="597"/>
      <c r="N217" s="605"/>
      <c r="O217" s="605"/>
      <c r="P217" s="629"/>
      <c r="R217" s="617"/>
      <c r="S217" s="617"/>
      <c r="T217" s="293"/>
    </row>
    <row r="218" spans="10:20" x14ac:dyDescent="0.2">
      <c r="J218" s="614"/>
      <c r="K218" s="614"/>
      <c r="L218" s="614"/>
      <c r="M218" s="597"/>
      <c r="N218" s="605"/>
      <c r="O218" s="605"/>
      <c r="P218" s="629"/>
      <c r="R218" s="617"/>
      <c r="S218" s="617"/>
      <c r="T218" s="293"/>
    </row>
    <row r="219" spans="10:20" x14ac:dyDescent="0.2">
      <c r="J219" s="614"/>
      <c r="K219" s="614"/>
      <c r="L219" s="614"/>
      <c r="M219" s="597"/>
      <c r="N219" s="605"/>
      <c r="O219" s="605"/>
      <c r="P219" s="629"/>
      <c r="R219" s="617"/>
      <c r="S219" s="617"/>
      <c r="T219" s="293"/>
    </row>
    <row r="220" spans="10:20" x14ac:dyDescent="0.2">
      <c r="J220" s="614"/>
      <c r="K220" s="614"/>
      <c r="L220" s="614"/>
      <c r="M220" s="597"/>
      <c r="N220" s="605"/>
      <c r="O220" s="605"/>
      <c r="P220" s="629"/>
      <c r="R220" s="617"/>
      <c r="S220" s="617"/>
      <c r="T220" s="293"/>
    </row>
    <row r="221" spans="10:20" x14ac:dyDescent="0.2">
      <c r="J221" s="614"/>
      <c r="K221" s="614"/>
      <c r="L221" s="614"/>
      <c r="M221" s="618"/>
      <c r="N221" s="619"/>
      <c r="O221" s="619"/>
      <c r="P221" s="630"/>
      <c r="R221" s="621"/>
      <c r="S221" s="621"/>
      <c r="T221" s="293"/>
    </row>
    <row r="222" spans="10:20" x14ac:dyDescent="0.2">
      <c r="J222" s="623"/>
      <c r="K222" s="623"/>
      <c r="L222" s="623"/>
      <c r="M222" s="604"/>
      <c r="N222" s="605"/>
      <c r="O222" s="605"/>
      <c r="P222" s="604"/>
      <c r="R222" s="624"/>
      <c r="S222" s="624"/>
      <c r="T222" s="293"/>
    </row>
    <row r="223" spans="10:20" x14ac:dyDescent="0.2">
      <c r="M223" s="604"/>
      <c r="P223" s="604"/>
      <c r="R223" s="293"/>
      <c r="S223" s="293"/>
      <c r="T223" s="293"/>
    </row>
    <row r="224" spans="10:20" x14ac:dyDescent="0.2">
      <c r="M224" s="604"/>
      <c r="P224" s="604"/>
      <c r="R224" s="293"/>
      <c r="S224" s="293"/>
      <c r="T224" s="293"/>
    </row>
    <row r="225" spans="1:20" x14ac:dyDescent="0.2">
      <c r="M225" s="604"/>
      <c r="P225" s="604"/>
      <c r="R225" s="293"/>
      <c r="S225" s="293"/>
      <c r="T225" s="293"/>
    </row>
    <row r="226" spans="1:20" x14ac:dyDescent="0.2">
      <c r="M226" s="604"/>
      <c r="P226" s="604"/>
      <c r="R226" s="293"/>
      <c r="S226" s="293"/>
      <c r="T226" s="293"/>
    </row>
    <row r="227" spans="1:20" x14ac:dyDescent="0.2">
      <c r="M227" s="604"/>
      <c r="P227" s="604"/>
      <c r="R227" s="293"/>
      <c r="S227" s="293"/>
      <c r="T227" s="293"/>
    </row>
    <row r="228" spans="1:20" x14ac:dyDescent="0.2">
      <c r="M228" s="604"/>
      <c r="P228" s="604"/>
      <c r="R228" s="293"/>
      <c r="S228" s="293"/>
      <c r="T228" s="293"/>
    </row>
    <row r="229" spans="1:20" x14ac:dyDescent="0.2">
      <c r="M229" s="604"/>
      <c r="P229" s="604"/>
      <c r="R229" s="293"/>
      <c r="S229" s="293"/>
      <c r="T229" s="293"/>
    </row>
    <row r="230" spans="1:20" x14ac:dyDescent="0.2">
      <c r="M230" s="604"/>
      <c r="P230" s="604"/>
      <c r="R230" s="293"/>
      <c r="S230" s="293"/>
      <c r="T230" s="293"/>
    </row>
    <row r="231" spans="1:20" x14ac:dyDescent="0.2">
      <c r="M231" s="604"/>
      <c r="P231" s="604"/>
      <c r="R231" s="293"/>
      <c r="S231" s="293"/>
      <c r="T231" s="293"/>
    </row>
    <row r="232" spans="1:20" x14ac:dyDescent="0.2">
      <c r="M232" s="604"/>
      <c r="P232" s="604"/>
      <c r="R232" s="293"/>
      <c r="S232" s="293"/>
      <c r="T232" s="293"/>
    </row>
    <row r="233" spans="1:20" x14ac:dyDescent="0.2">
      <c r="K233" s="433"/>
      <c r="M233" s="604"/>
      <c r="P233" s="604"/>
      <c r="R233" s="293"/>
      <c r="S233" s="293"/>
      <c r="T233" s="293"/>
    </row>
    <row r="234" spans="1:20" x14ac:dyDescent="0.2">
      <c r="K234" s="433"/>
      <c r="M234" s="604"/>
      <c r="P234" s="604"/>
      <c r="R234" s="293"/>
      <c r="S234" s="293"/>
      <c r="T234" s="293"/>
    </row>
    <row r="235" spans="1:20" x14ac:dyDescent="0.2">
      <c r="K235" s="433"/>
      <c r="M235" s="604"/>
      <c r="P235" s="597"/>
      <c r="R235" s="293"/>
      <c r="S235" s="293"/>
      <c r="T235" s="293"/>
    </row>
    <row r="236" spans="1:20" x14ac:dyDescent="0.2">
      <c r="M236" s="604"/>
      <c r="P236" s="604"/>
      <c r="R236" s="293"/>
      <c r="S236" s="293"/>
      <c r="T236" s="293"/>
    </row>
    <row r="237" spans="1:20" x14ac:dyDescent="0.2">
      <c r="J237" s="225"/>
      <c r="K237" s="225"/>
      <c r="L237" s="225"/>
      <c r="M237" s="625"/>
      <c r="N237" s="225"/>
      <c r="O237" s="225"/>
      <c r="P237" s="626"/>
      <c r="R237" s="293"/>
      <c r="S237" s="293"/>
      <c r="T237" s="293"/>
    </row>
    <row r="238" spans="1:20" x14ac:dyDescent="0.2">
      <c r="A238" s="410"/>
      <c r="B238" s="262"/>
      <c r="C238" s="262"/>
      <c r="D238" s="433"/>
      <c r="E238" s="433"/>
      <c r="F238" s="433"/>
      <c r="G238" s="433"/>
      <c r="H238" s="433"/>
      <c r="I238" s="433"/>
      <c r="J238" s="225"/>
      <c r="K238" s="225"/>
      <c r="L238" s="225"/>
      <c r="M238" s="626"/>
      <c r="N238" s="225"/>
      <c r="O238" s="225"/>
      <c r="P238" s="626"/>
      <c r="R238" s="293"/>
      <c r="S238" s="293"/>
      <c r="T238" s="293"/>
    </row>
    <row r="239" spans="1:20" x14ac:dyDescent="0.2">
      <c r="A239" s="281"/>
      <c r="B239" s="281"/>
      <c r="C239" s="281"/>
      <c r="D239" s="258"/>
      <c r="E239" s="258"/>
      <c r="F239" s="258"/>
      <c r="G239" s="258"/>
      <c r="H239" s="258"/>
      <c r="I239" s="258"/>
      <c r="J239" s="258"/>
      <c r="K239" s="258"/>
      <c r="L239" s="258"/>
      <c r="M239" s="627"/>
      <c r="N239" s="258"/>
      <c r="O239" s="258"/>
      <c r="P239" s="627"/>
      <c r="R239" s="293"/>
      <c r="S239" s="293"/>
      <c r="T239" s="293"/>
    </row>
    <row r="240" spans="1:20" x14ac:dyDescent="0.2">
      <c r="A240" s="410"/>
      <c r="B240" s="262"/>
      <c r="C240" s="262"/>
      <c r="D240" s="433"/>
      <c r="E240" s="433"/>
      <c r="F240" s="433"/>
      <c r="G240" s="433"/>
      <c r="H240" s="433"/>
      <c r="I240" s="433"/>
      <c r="J240" s="225"/>
      <c r="K240" s="225"/>
      <c r="L240" s="225"/>
      <c r="M240" s="626"/>
      <c r="N240" s="225"/>
      <c r="O240" s="225"/>
      <c r="P240" s="626"/>
      <c r="R240" s="293"/>
      <c r="S240" s="293"/>
      <c r="T240" s="293"/>
    </row>
    <row r="241" spans="1:20" x14ac:dyDescent="0.2">
      <c r="A241" s="410"/>
      <c r="B241" s="262"/>
      <c r="C241" s="262"/>
      <c r="D241" s="433"/>
      <c r="E241" s="433"/>
      <c r="F241" s="433"/>
      <c r="G241" s="433"/>
      <c r="H241" s="433"/>
      <c r="I241" s="433"/>
      <c r="J241" s="225"/>
      <c r="K241" s="225"/>
      <c r="L241" s="225"/>
      <c r="M241" s="626"/>
      <c r="N241" s="225"/>
      <c r="O241" s="225"/>
      <c r="P241" s="626"/>
      <c r="R241" s="293"/>
      <c r="S241" s="293"/>
      <c r="T241" s="293"/>
    </row>
    <row r="242" spans="1:20" x14ac:dyDescent="0.2">
      <c r="B242" s="262"/>
      <c r="C242" s="262"/>
      <c r="D242" s="433"/>
      <c r="E242" s="433"/>
      <c r="F242" s="433"/>
      <c r="G242" s="433"/>
      <c r="H242" s="433"/>
      <c r="I242" s="433"/>
      <c r="M242" s="604"/>
      <c r="P242" s="604"/>
      <c r="R242" s="293"/>
      <c r="S242" s="293"/>
      <c r="T242" s="293"/>
    </row>
    <row r="243" spans="1:20" x14ac:dyDescent="0.2">
      <c r="M243" s="604"/>
      <c r="P243" s="604"/>
      <c r="R243" s="293"/>
      <c r="S243" s="293"/>
      <c r="T243" s="293"/>
    </row>
    <row r="244" spans="1:20" x14ac:dyDescent="0.2">
      <c r="M244" s="604"/>
      <c r="P244" s="604"/>
      <c r="R244" s="293"/>
      <c r="S244" s="293"/>
      <c r="T244" s="293"/>
    </row>
    <row r="245" spans="1:20" x14ac:dyDescent="0.2">
      <c r="M245" s="604"/>
      <c r="P245" s="604"/>
      <c r="R245" s="293"/>
      <c r="S245" s="293"/>
      <c r="T245" s="293"/>
    </row>
    <row r="246" spans="1:20" x14ac:dyDescent="0.2">
      <c r="M246" s="604"/>
      <c r="P246" s="604"/>
      <c r="R246" s="293"/>
      <c r="S246" s="293"/>
      <c r="T246" s="293"/>
    </row>
    <row r="247" spans="1:20" x14ac:dyDescent="0.2">
      <c r="M247" s="604"/>
      <c r="P247" s="604"/>
      <c r="R247" s="293"/>
      <c r="S247" s="293"/>
      <c r="T247" s="293"/>
    </row>
    <row r="248" spans="1:20" x14ac:dyDescent="0.2">
      <c r="M248" s="604"/>
      <c r="P248" s="604"/>
      <c r="R248" s="293"/>
      <c r="S248" s="293"/>
      <c r="T248" s="293"/>
    </row>
    <row r="249" spans="1:20" x14ac:dyDescent="0.2">
      <c r="J249" s="614"/>
      <c r="K249" s="614"/>
      <c r="L249" s="614"/>
      <c r="M249" s="629"/>
      <c r="N249" s="605"/>
      <c r="O249" s="605"/>
      <c r="P249" s="629"/>
      <c r="R249" s="293"/>
      <c r="S249" s="293"/>
      <c r="T249" s="293"/>
    </row>
    <row r="250" spans="1:20" x14ac:dyDescent="0.2">
      <c r="J250" s="614"/>
      <c r="K250" s="614"/>
      <c r="L250" s="614"/>
      <c r="M250" s="629"/>
      <c r="N250" s="605"/>
      <c r="O250" s="605"/>
      <c r="P250" s="629"/>
      <c r="R250" s="293"/>
      <c r="S250" s="293"/>
      <c r="T250" s="293"/>
    </row>
    <row r="251" spans="1:20" x14ac:dyDescent="0.2">
      <c r="J251" s="614"/>
      <c r="K251" s="614"/>
      <c r="L251" s="614"/>
      <c r="M251" s="629"/>
      <c r="N251" s="605"/>
      <c r="O251" s="605"/>
      <c r="P251" s="629"/>
      <c r="R251" s="293"/>
      <c r="S251" s="293"/>
      <c r="T251" s="293"/>
    </row>
    <row r="252" spans="1:20" x14ac:dyDescent="0.2">
      <c r="J252" s="614"/>
      <c r="K252" s="614"/>
      <c r="L252" s="614"/>
      <c r="M252" s="629"/>
      <c r="N252" s="605"/>
      <c r="O252" s="605"/>
      <c r="P252" s="629"/>
      <c r="R252" s="293"/>
      <c r="S252" s="293"/>
      <c r="T252" s="293"/>
    </row>
    <row r="253" spans="1:20" x14ac:dyDescent="0.2">
      <c r="J253" s="614"/>
      <c r="K253" s="614"/>
      <c r="L253" s="614"/>
      <c r="M253" s="629"/>
      <c r="N253" s="605"/>
      <c r="O253" s="605"/>
      <c r="P253" s="629"/>
      <c r="R253" s="293"/>
      <c r="S253" s="293"/>
      <c r="T253" s="293"/>
    </row>
    <row r="254" spans="1:20" x14ac:dyDescent="0.2">
      <c r="J254" s="614"/>
      <c r="K254" s="614"/>
      <c r="L254" s="614"/>
      <c r="M254" s="629"/>
      <c r="N254" s="605"/>
      <c r="O254" s="605"/>
      <c r="P254" s="629"/>
      <c r="R254" s="293"/>
      <c r="S254" s="293"/>
      <c r="T254" s="293"/>
    </row>
    <row r="255" spans="1:20" x14ac:dyDescent="0.2">
      <c r="J255" s="614"/>
      <c r="K255" s="614"/>
      <c r="L255" s="614"/>
      <c r="M255" s="629"/>
      <c r="N255" s="605"/>
      <c r="O255" s="605"/>
      <c r="P255" s="629"/>
      <c r="R255" s="293"/>
      <c r="S255" s="293"/>
      <c r="T255" s="293"/>
    </row>
    <row r="256" spans="1:20" x14ac:dyDescent="0.2">
      <c r="J256" s="614"/>
      <c r="K256" s="614"/>
      <c r="L256" s="614"/>
      <c r="M256" s="629"/>
      <c r="N256" s="605"/>
      <c r="O256" s="605"/>
      <c r="P256" s="629"/>
      <c r="R256" s="293"/>
      <c r="S256" s="293"/>
      <c r="T256" s="293"/>
    </row>
    <row r="257" spans="10:20" x14ac:dyDescent="0.2">
      <c r="J257" s="614"/>
      <c r="K257" s="614"/>
      <c r="L257" s="614"/>
      <c r="M257" s="629"/>
      <c r="N257" s="605"/>
      <c r="O257" s="605"/>
      <c r="P257" s="629"/>
      <c r="R257" s="293"/>
      <c r="S257" s="293"/>
      <c r="T257" s="293"/>
    </row>
    <row r="258" spans="10:20" x14ac:dyDescent="0.2">
      <c r="J258" s="614"/>
      <c r="K258" s="614"/>
      <c r="L258" s="614"/>
      <c r="M258" s="629"/>
      <c r="N258" s="605"/>
      <c r="O258" s="605"/>
      <c r="P258" s="629"/>
      <c r="R258" s="293"/>
      <c r="S258" s="293"/>
      <c r="T258" s="293"/>
    </row>
    <row r="259" spans="10:20" x14ac:dyDescent="0.2">
      <c r="J259" s="614"/>
      <c r="K259" s="614"/>
      <c r="L259" s="614"/>
      <c r="M259" s="629"/>
      <c r="N259" s="605"/>
      <c r="O259" s="605"/>
      <c r="P259" s="629"/>
      <c r="R259" s="293"/>
      <c r="S259" s="293"/>
      <c r="T259" s="293"/>
    </row>
    <row r="260" spans="10:20" x14ac:dyDescent="0.2">
      <c r="J260" s="614"/>
      <c r="K260" s="614"/>
      <c r="L260" s="614"/>
      <c r="M260" s="630"/>
      <c r="N260" s="619"/>
      <c r="O260" s="619"/>
      <c r="P260" s="630"/>
      <c r="R260" s="293"/>
      <c r="S260" s="293"/>
      <c r="T260" s="293"/>
    </row>
    <row r="261" spans="10:20" x14ac:dyDescent="0.2">
      <c r="J261" s="614"/>
      <c r="K261" s="614"/>
      <c r="L261" s="614"/>
      <c r="M261" s="604"/>
      <c r="N261" s="605"/>
      <c r="O261" s="605"/>
      <c r="P261" s="604"/>
      <c r="R261" s="293"/>
      <c r="S261" s="293"/>
      <c r="T261" s="293"/>
    </row>
    <row r="262" spans="10:20" x14ac:dyDescent="0.2">
      <c r="J262" s="614"/>
      <c r="K262" s="614"/>
      <c r="L262" s="614"/>
      <c r="M262" s="604"/>
      <c r="P262" s="604"/>
      <c r="R262" s="293"/>
      <c r="S262" s="293"/>
      <c r="T262" s="293"/>
    </row>
    <row r="263" spans="10:20" x14ac:dyDescent="0.2">
      <c r="J263" s="614"/>
      <c r="K263" s="614"/>
      <c r="L263" s="614"/>
      <c r="M263" s="604"/>
      <c r="P263" s="604"/>
      <c r="R263" s="293"/>
      <c r="S263" s="293"/>
      <c r="T263" s="293"/>
    </row>
    <row r="264" spans="10:20" x14ac:dyDescent="0.2">
      <c r="J264" s="614"/>
      <c r="K264" s="614"/>
      <c r="L264" s="614"/>
      <c r="M264" s="604"/>
      <c r="P264" s="604"/>
      <c r="R264" s="293"/>
      <c r="S264" s="293"/>
      <c r="T264" s="293"/>
    </row>
    <row r="265" spans="10:20" x14ac:dyDescent="0.2">
      <c r="J265" s="614"/>
      <c r="K265" s="614"/>
      <c r="L265" s="614"/>
      <c r="M265" s="629"/>
      <c r="N265" s="605"/>
      <c r="O265" s="605"/>
      <c r="P265" s="629"/>
      <c r="R265" s="293"/>
      <c r="S265" s="293"/>
      <c r="T265" s="293"/>
    </row>
    <row r="266" spans="10:20" x14ac:dyDescent="0.2">
      <c r="J266" s="614"/>
      <c r="K266" s="614"/>
      <c r="L266" s="614"/>
      <c r="M266" s="629"/>
      <c r="N266" s="605"/>
      <c r="O266" s="605"/>
      <c r="P266" s="629"/>
      <c r="R266" s="293"/>
      <c r="S266" s="293"/>
      <c r="T266" s="293"/>
    </row>
    <row r="267" spans="10:20" x14ac:dyDescent="0.2">
      <c r="J267" s="614"/>
      <c r="K267" s="614"/>
      <c r="L267" s="614"/>
      <c r="M267" s="629"/>
      <c r="N267" s="605"/>
      <c r="O267" s="605"/>
      <c r="P267" s="629"/>
      <c r="R267" s="293"/>
      <c r="S267" s="293"/>
      <c r="T267" s="293"/>
    </row>
    <row r="268" spans="10:20" x14ac:dyDescent="0.2">
      <c r="J268" s="614"/>
      <c r="K268" s="614"/>
      <c r="L268" s="614"/>
      <c r="M268" s="629"/>
      <c r="N268" s="605"/>
      <c r="O268" s="605"/>
      <c r="P268" s="629"/>
      <c r="R268" s="293"/>
      <c r="S268" s="293"/>
      <c r="T268" s="293"/>
    </row>
    <row r="269" spans="10:20" x14ac:dyDescent="0.2">
      <c r="J269" s="614"/>
      <c r="K269" s="614"/>
      <c r="L269" s="614"/>
      <c r="M269" s="629"/>
      <c r="N269" s="605"/>
      <c r="O269" s="605"/>
      <c r="P269" s="629"/>
      <c r="R269" s="293"/>
      <c r="S269" s="293"/>
      <c r="T269" s="293"/>
    </row>
    <row r="270" spans="10:20" x14ac:dyDescent="0.2">
      <c r="J270" s="614"/>
      <c r="K270" s="614"/>
      <c r="L270" s="614"/>
      <c r="M270" s="629"/>
      <c r="N270" s="605"/>
      <c r="O270" s="605"/>
      <c r="P270" s="629"/>
      <c r="R270" s="293"/>
      <c r="S270" s="293"/>
      <c r="T270" s="293"/>
    </row>
    <row r="271" spans="10:20" x14ac:dyDescent="0.2">
      <c r="J271" s="614"/>
      <c r="K271" s="614"/>
      <c r="L271" s="614"/>
      <c r="M271" s="629"/>
      <c r="N271" s="605"/>
      <c r="O271" s="605"/>
      <c r="P271" s="629"/>
      <c r="R271" s="293"/>
      <c r="S271" s="293"/>
      <c r="T271" s="293"/>
    </row>
    <row r="272" spans="10:20" x14ac:dyDescent="0.2">
      <c r="J272" s="614"/>
      <c r="K272" s="614"/>
      <c r="L272" s="614"/>
      <c r="M272" s="629"/>
      <c r="N272" s="605"/>
      <c r="O272" s="605"/>
      <c r="P272" s="629"/>
      <c r="R272" s="293"/>
      <c r="S272" s="293"/>
      <c r="T272" s="293"/>
    </row>
    <row r="273" spans="10:20" x14ac:dyDescent="0.2">
      <c r="J273" s="614"/>
      <c r="K273" s="614"/>
      <c r="L273" s="614"/>
      <c r="M273" s="629"/>
      <c r="N273" s="605"/>
      <c r="O273" s="605"/>
      <c r="P273" s="629"/>
      <c r="R273" s="293"/>
      <c r="S273" s="293"/>
      <c r="T273" s="293"/>
    </row>
    <row r="274" spans="10:20" x14ac:dyDescent="0.2">
      <c r="J274" s="614"/>
      <c r="K274" s="614"/>
      <c r="L274" s="614"/>
      <c r="M274" s="629"/>
      <c r="N274" s="605"/>
      <c r="O274" s="605"/>
      <c r="P274" s="629"/>
      <c r="R274" s="293"/>
      <c r="S274" s="293"/>
      <c r="T274" s="293"/>
    </row>
    <row r="275" spans="10:20" x14ac:dyDescent="0.2">
      <c r="J275" s="614"/>
      <c r="K275" s="614"/>
      <c r="L275" s="614"/>
      <c r="M275" s="629"/>
      <c r="N275" s="605"/>
      <c r="O275" s="605"/>
      <c r="P275" s="629"/>
      <c r="R275" s="293"/>
      <c r="S275" s="293"/>
      <c r="T275" s="293"/>
    </row>
    <row r="276" spans="10:20" x14ac:dyDescent="0.2">
      <c r="J276" s="614"/>
      <c r="K276" s="614"/>
      <c r="L276" s="614"/>
      <c r="M276" s="630"/>
      <c r="N276" s="619"/>
      <c r="O276" s="619"/>
      <c r="P276" s="630"/>
      <c r="R276" s="293"/>
      <c r="S276" s="293"/>
      <c r="T276" s="293"/>
    </row>
    <row r="277" spans="10:20" x14ac:dyDescent="0.2">
      <c r="J277" s="623"/>
      <c r="K277" s="623"/>
      <c r="L277" s="623"/>
      <c r="M277" s="604"/>
      <c r="N277" s="605"/>
      <c r="O277" s="605"/>
      <c r="P277" s="604"/>
      <c r="R277" s="293"/>
      <c r="S277" s="293"/>
      <c r="T277" s="293"/>
    </row>
    <row r="278" spans="10:20" x14ac:dyDescent="0.2">
      <c r="J278" s="623"/>
      <c r="K278" s="623"/>
      <c r="L278" s="623"/>
      <c r="M278" s="604"/>
      <c r="N278" s="605"/>
      <c r="O278" s="605"/>
      <c r="P278" s="604"/>
      <c r="R278" s="293"/>
      <c r="S278" s="293"/>
      <c r="T278" s="293"/>
    </row>
    <row r="279" spans="10:20" x14ac:dyDescent="0.2">
      <c r="J279" s="623"/>
      <c r="K279" s="623"/>
      <c r="L279" s="623"/>
      <c r="M279" s="604"/>
      <c r="N279" s="605"/>
      <c r="O279" s="605"/>
      <c r="P279" s="604"/>
      <c r="R279" s="293"/>
      <c r="S279" s="293"/>
      <c r="T279" s="293"/>
    </row>
    <row r="280" spans="10:20" x14ac:dyDescent="0.2">
      <c r="J280" s="623"/>
      <c r="K280" s="623"/>
      <c r="L280" s="623"/>
      <c r="M280" s="604"/>
      <c r="N280" s="605"/>
      <c r="O280" s="605"/>
      <c r="P280" s="604"/>
      <c r="R280" s="293"/>
      <c r="S280" s="293"/>
      <c r="T280" s="293"/>
    </row>
    <row r="281" spans="10:20" x14ac:dyDescent="0.2">
      <c r="J281" s="623"/>
      <c r="K281" s="623"/>
      <c r="L281" s="623"/>
      <c r="M281" s="604"/>
      <c r="N281" s="605"/>
      <c r="O281" s="605"/>
      <c r="P281" s="604"/>
      <c r="R281" s="293"/>
      <c r="S281" s="293"/>
      <c r="T281" s="293"/>
    </row>
    <row r="282" spans="10:20" x14ac:dyDescent="0.2">
      <c r="J282" s="623"/>
      <c r="K282" s="623"/>
      <c r="L282" s="623"/>
      <c r="M282" s="604"/>
      <c r="N282" s="605"/>
      <c r="O282" s="605"/>
      <c r="P282" s="604"/>
      <c r="R282" s="293"/>
      <c r="S282" s="293"/>
      <c r="T282" s="293"/>
    </row>
    <row r="283" spans="10:20" x14ac:dyDescent="0.2">
      <c r="J283" s="623"/>
      <c r="K283" s="623"/>
      <c r="L283" s="623"/>
      <c r="M283" s="604"/>
      <c r="N283" s="605"/>
      <c r="O283" s="605"/>
      <c r="P283" s="604"/>
      <c r="R283" s="293"/>
      <c r="S283" s="293"/>
      <c r="T283" s="293"/>
    </row>
    <row r="284" spans="10:20" x14ac:dyDescent="0.2">
      <c r="J284" s="623"/>
      <c r="K284" s="623"/>
      <c r="L284" s="623"/>
      <c r="M284" s="604"/>
      <c r="N284" s="605"/>
      <c r="O284" s="605"/>
      <c r="P284" s="604"/>
      <c r="R284" s="293"/>
      <c r="S284" s="293"/>
      <c r="T284" s="293"/>
    </row>
    <row r="285" spans="10:20" x14ac:dyDescent="0.2">
      <c r="M285" s="604"/>
      <c r="P285" s="604"/>
      <c r="R285" s="293"/>
      <c r="S285" s="293"/>
      <c r="T285" s="293"/>
    </row>
    <row r="286" spans="10:20" x14ac:dyDescent="0.2">
      <c r="M286" s="604"/>
      <c r="P286" s="604"/>
      <c r="R286" s="293"/>
      <c r="S286" s="293"/>
      <c r="T286" s="293"/>
    </row>
    <row r="287" spans="10:20" x14ac:dyDescent="0.2">
      <c r="M287" s="604"/>
      <c r="P287" s="604"/>
      <c r="R287" s="293"/>
      <c r="S287" s="293"/>
      <c r="T287" s="293"/>
    </row>
    <row r="288" spans="10:20" x14ac:dyDescent="0.2">
      <c r="K288" s="433"/>
      <c r="M288" s="604"/>
      <c r="P288" s="604"/>
      <c r="R288" s="293"/>
      <c r="S288" s="293"/>
      <c r="T288" s="293"/>
    </row>
    <row r="289" spans="1:20" x14ac:dyDescent="0.2">
      <c r="K289" s="433"/>
      <c r="M289" s="604"/>
      <c r="P289" s="604"/>
      <c r="R289" s="293"/>
      <c r="S289" s="293"/>
      <c r="T289" s="293"/>
    </row>
    <row r="290" spans="1:20" x14ac:dyDescent="0.2">
      <c r="K290" s="433"/>
      <c r="M290" s="604"/>
      <c r="P290" s="597"/>
      <c r="R290" s="293"/>
      <c r="S290" s="293"/>
      <c r="T290" s="293"/>
    </row>
    <row r="291" spans="1:20" x14ac:dyDescent="0.2">
      <c r="M291" s="604"/>
      <c r="P291" s="604"/>
      <c r="R291" s="293"/>
      <c r="S291" s="293"/>
      <c r="T291" s="293"/>
    </row>
    <row r="292" spans="1:20" x14ac:dyDescent="0.2">
      <c r="J292" s="225"/>
      <c r="K292" s="225"/>
      <c r="L292" s="225"/>
      <c r="M292" s="625"/>
      <c r="N292" s="225"/>
      <c r="O292" s="225"/>
      <c r="P292" s="626"/>
      <c r="R292" s="293"/>
      <c r="S292" s="293"/>
      <c r="T292" s="293"/>
    </row>
    <row r="293" spans="1:20" x14ac:dyDescent="0.2">
      <c r="A293" s="410"/>
      <c r="B293" s="262"/>
      <c r="C293" s="262"/>
      <c r="D293" s="433"/>
      <c r="E293" s="433"/>
      <c r="F293" s="433"/>
      <c r="G293" s="433"/>
      <c r="H293" s="433"/>
      <c r="I293" s="433"/>
      <c r="J293" s="225"/>
      <c r="K293" s="225"/>
      <c r="L293" s="225"/>
      <c r="M293" s="626"/>
      <c r="N293" s="225"/>
      <c r="O293" s="225"/>
      <c r="P293" s="626"/>
      <c r="R293" s="293"/>
      <c r="S293" s="293"/>
      <c r="T293" s="293"/>
    </row>
    <row r="294" spans="1:20" x14ac:dyDescent="0.2">
      <c r="A294" s="281"/>
      <c r="B294" s="281"/>
      <c r="C294" s="281"/>
      <c r="D294" s="258"/>
      <c r="E294" s="258"/>
      <c r="F294" s="258"/>
      <c r="G294" s="258"/>
      <c r="H294" s="258"/>
      <c r="I294" s="258"/>
      <c r="J294" s="258"/>
      <c r="K294" s="258"/>
      <c r="L294" s="258"/>
      <c r="M294" s="627"/>
      <c r="N294" s="258"/>
      <c r="O294" s="258"/>
      <c r="P294" s="627"/>
      <c r="R294" s="293"/>
      <c r="S294" s="293"/>
      <c r="T294" s="293"/>
    </row>
    <row r="295" spans="1:20" x14ac:dyDescent="0.2">
      <c r="A295" s="410"/>
      <c r="B295" s="262"/>
      <c r="C295" s="262"/>
      <c r="D295" s="433"/>
      <c r="E295" s="433"/>
      <c r="F295" s="433"/>
      <c r="G295" s="433"/>
      <c r="H295" s="433"/>
      <c r="I295" s="433"/>
      <c r="J295" s="225"/>
      <c r="K295" s="225"/>
      <c r="L295" s="225"/>
      <c r="M295" s="626"/>
      <c r="N295" s="225"/>
      <c r="O295" s="225"/>
      <c r="P295" s="626"/>
      <c r="R295" s="293"/>
      <c r="S295" s="293"/>
      <c r="T295" s="293"/>
    </row>
    <row r="296" spans="1:20" x14ac:dyDescent="0.2">
      <c r="A296" s="410"/>
      <c r="B296" s="262"/>
      <c r="C296" s="262"/>
      <c r="D296" s="433"/>
      <c r="E296" s="433"/>
      <c r="F296" s="433"/>
      <c r="G296" s="433"/>
      <c r="H296" s="433"/>
      <c r="I296" s="433"/>
      <c r="J296" s="225"/>
      <c r="K296" s="225"/>
      <c r="L296" s="225"/>
      <c r="M296" s="626"/>
      <c r="N296" s="225"/>
      <c r="O296" s="225"/>
      <c r="P296" s="626"/>
      <c r="R296" s="293"/>
      <c r="S296" s="293"/>
      <c r="T296" s="293"/>
    </row>
    <row r="297" spans="1:20" x14ac:dyDescent="0.2">
      <c r="B297" s="262"/>
      <c r="C297" s="262"/>
      <c r="D297" s="433"/>
      <c r="E297" s="433"/>
      <c r="F297" s="433"/>
      <c r="G297" s="433"/>
      <c r="H297" s="433"/>
      <c r="I297" s="433"/>
      <c r="M297" s="604"/>
      <c r="P297" s="604"/>
      <c r="R297" s="293"/>
      <c r="S297" s="293"/>
      <c r="T297" s="293"/>
    </row>
    <row r="298" spans="1:20" x14ac:dyDescent="0.2">
      <c r="M298" s="604"/>
      <c r="P298" s="604"/>
      <c r="R298" s="293"/>
      <c r="S298" s="293"/>
      <c r="T298" s="293"/>
    </row>
    <row r="299" spans="1:20" x14ac:dyDescent="0.2">
      <c r="M299" s="604"/>
      <c r="P299" s="604"/>
      <c r="R299" s="293"/>
      <c r="S299" s="293"/>
      <c r="T299" s="293"/>
    </row>
    <row r="300" spans="1:20" x14ac:dyDescent="0.2">
      <c r="M300" s="604"/>
      <c r="P300" s="604"/>
      <c r="R300" s="293"/>
      <c r="S300" s="293"/>
      <c r="T300" s="293"/>
    </row>
    <row r="301" spans="1:20" x14ac:dyDescent="0.2">
      <c r="M301" s="604"/>
      <c r="P301" s="604"/>
      <c r="R301" s="293"/>
      <c r="S301" s="293"/>
      <c r="T301" s="293"/>
    </row>
    <row r="302" spans="1:20" x14ac:dyDescent="0.2">
      <c r="M302" s="604"/>
      <c r="P302" s="604"/>
      <c r="R302" s="293"/>
      <c r="S302" s="293"/>
      <c r="T302" s="293"/>
    </row>
    <row r="303" spans="1:20" x14ac:dyDescent="0.2">
      <c r="M303" s="604"/>
      <c r="P303" s="604"/>
      <c r="R303" s="293"/>
      <c r="S303" s="293"/>
      <c r="T303" s="293"/>
    </row>
    <row r="304" spans="1:20" x14ac:dyDescent="0.2">
      <c r="J304" s="631"/>
      <c r="K304" s="631"/>
      <c r="L304" s="623"/>
      <c r="M304" s="629"/>
      <c r="N304" s="605"/>
      <c r="O304" s="605"/>
      <c r="P304" s="629"/>
      <c r="R304" s="617"/>
      <c r="S304" s="617"/>
      <c r="T304" s="293"/>
    </row>
    <row r="305" spans="10:20" x14ac:dyDescent="0.2">
      <c r="J305" s="631"/>
      <c r="K305" s="631"/>
      <c r="L305" s="623"/>
      <c r="M305" s="629"/>
      <c r="N305" s="605"/>
      <c r="O305" s="605"/>
      <c r="P305" s="629"/>
      <c r="R305" s="617"/>
      <c r="S305" s="617"/>
      <c r="T305" s="293"/>
    </row>
    <row r="306" spans="10:20" x14ac:dyDescent="0.2">
      <c r="J306" s="631"/>
      <c r="K306" s="631"/>
      <c r="L306" s="623"/>
      <c r="M306" s="629"/>
      <c r="N306" s="605"/>
      <c r="O306" s="605"/>
      <c r="P306" s="629"/>
      <c r="R306" s="617"/>
      <c r="S306" s="617"/>
      <c r="T306" s="293"/>
    </row>
    <row r="307" spans="10:20" x14ac:dyDescent="0.2">
      <c r="J307" s="631"/>
      <c r="K307" s="631"/>
      <c r="L307" s="623"/>
      <c r="M307" s="629"/>
      <c r="N307" s="605"/>
      <c r="O307" s="605"/>
      <c r="P307" s="629"/>
      <c r="R307" s="617"/>
      <c r="S307" s="617"/>
      <c r="T307" s="293"/>
    </row>
    <row r="308" spans="10:20" x14ac:dyDescent="0.2">
      <c r="J308" s="631"/>
      <c r="K308" s="631"/>
      <c r="L308" s="623"/>
      <c r="M308" s="629"/>
      <c r="N308" s="605"/>
      <c r="O308" s="605"/>
      <c r="P308" s="629"/>
      <c r="R308" s="617"/>
      <c r="S308" s="617"/>
      <c r="T308" s="293"/>
    </row>
    <row r="309" spans="10:20" x14ac:dyDescent="0.2">
      <c r="J309" s="631"/>
      <c r="K309" s="631"/>
      <c r="L309" s="623"/>
      <c r="M309" s="629"/>
      <c r="N309" s="605"/>
      <c r="O309" s="605"/>
      <c r="P309" s="629"/>
      <c r="R309" s="617"/>
      <c r="S309" s="617"/>
      <c r="T309" s="293"/>
    </row>
    <row r="310" spans="10:20" x14ac:dyDescent="0.2">
      <c r="J310" s="631"/>
      <c r="K310" s="631"/>
      <c r="L310" s="623"/>
      <c r="M310" s="629"/>
      <c r="N310" s="605"/>
      <c r="O310" s="605"/>
      <c r="P310" s="629"/>
      <c r="R310" s="617"/>
      <c r="S310" s="617"/>
      <c r="T310" s="293"/>
    </row>
    <row r="311" spans="10:20" x14ac:dyDescent="0.2">
      <c r="J311" s="631"/>
      <c r="K311" s="631"/>
      <c r="L311" s="623"/>
      <c r="M311" s="629"/>
      <c r="N311" s="605"/>
      <c r="O311" s="605"/>
      <c r="P311" s="629"/>
      <c r="R311" s="617"/>
      <c r="S311" s="617"/>
      <c r="T311" s="293"/>
    </row>
    <row r="312" spans="10:20" x14ac:dyDescent="0.2">
      <c r="J312" s="631"/>
      <c r="K312" s="631"/>
      <c r="L312" s="623"/>
      <c r="M312" s="629"/>
      <c r="N312" s="605"/>
      <c r="O312" s="605"/>
      <c r="P312" s="629"/>
      <c r="R312" s="617"/>
      <c r="S312" s="617"/>
      <c r="T312" s="293"/>
    </row>
    <row r="313" spans="10:20" x14ac:dyDescent="0.2">
      <c r="J313" s="631"/>
      <c r="K313" s="631"/>
      <c r="L313" s="623"/>
      <c r="M313" s="629"/>
      <c r="N313" s="605"/>
      <c r="O313" s="605"/>
      <c r="P313" s="629"/>
      <c r="R313" s="617"/>
      <c r="S313" s="617"/>
      <c r="T313" s="293"/>
    </row>
    <row r="314" spans="10:20" x14ac:dyDescent="0.2">
      <c r="J314" s="631"/>
      <c r="K314" s="631"/>
      <c r="L314" s="623"/>
      <c r="M314" s="629"/>
      <c r="N314" s="605"/>
      <c r="O314" s="605"/>
      <c r="P314" s="629"/>
      <c r="R314" s="617"/>
      <c r="S314" s="617"/>
      <c r="T314" s="293"/>
    </row>
    <row r="315" spans="10:20" x14ac:dyDescent="0.2">
      <c r="J315" s="631"/>
      <c r="K315" s="631"/>
      <c r="L315" s="623"/>
      <c r="M315" s="632"/>
      <c r="N315" s="619"/>
      <c r="O315" s="619"/>
      <c r="P315" s="632"/>
      <c r="R315" s="621"/>
      <c r="S315" s="621"/>
      <c r="T315" s="293"/>
    </row>
    <row r="316" spans="10:20" x14ac:dyDescent="0.2">
      <c r="J316" s="623"/>
      <c r="K316" s="623"/>
      <c r="L316" s="623"/>
      <c r="M316" s="604"/>
      <c r="N316" s="605"/>
      <c r="O316" s="605"/>
      <c r="P316" s="604"/>
      <c r="R316" s="624"/>
      <c r="S316" s="624"/>
      <c r="T316" s="293"/>
    </row>
    <row r="317" spans="10:20" x14ac:dyDescent="0.2">
      <c r="J317" s="623"/>
      <c r="K317" s="623"/>
      <c r="L317" s="623"/>
      <c r="M317" s="604"/>
      <c r="P317" s="604"/>
      <c r="R317" s="293"/>
      <c r="S317" s="293"/>
      <c r="T317" s="293"/>
    </row>
    <row r="318" spans="10:20" x14ac:dyDescent="0.2">
      <c r="J318" s="623"/>
      <c r="K318" s="623"/>
      <c r="L318" s="623"/>
      <c r="M318" s="604"/>
      <c r="P318" s="604"/>
      <c r="R318" s="293"/>
      <c r="S318" s="293"/>
      <c r="T318" s="293"/>
    </row>
    <row r="319" spans="10:20" x14ac:dyDescent="0.2">
      <c r="J319" s="623"/>
      <c r="K319" s="623"/>
      <c r="L319" s="623"/>
      <c r="M319" s="604"/>
      <c r="P319" s="604"/>
      <c r="R319" s="293"/>
      <c r="S319" s="293"/>
      <c r="T319" s="293"/>
    </row>
    <row r="320" spans="10:20" x14ac:dyDescent="0.2">
      <c r="J320" s="623"/>
      <c r="K320" s="623"/>
      <c r="L320" s="623"/>
      <c r="M320" s="597"/>
      <c r="N320" s="605"/>
      <c r="O320" s="605"/>
      <c r="P320" s="629"/>
      <c r="R320" s="617"/>
      <c r="S320" s="600"/>
      <c r="T320" s="600"/>
    </row>
    <row r="321" spans="10:20" x14ac:dyDescent="0.2">
      <c r="J321" s="623"/>
      <c r="K321" s="623"/>
      <c r="L321" s="623"/>
      <c r="M321" s="597"/>
      <c r="N321" s="605"/>
      <c r="O321" s="605"/>
      <c r="P321" s="629"/>
      <c r="R321" s="617"/>
      <c r="S321" s="600"/>
      <c r="T321" s="600"/>
    </row>
    <row r="322" spans="10:20" x14ac:dyDescent="0.2">
      <c r="J322" s="623"/>
      <c r="K322" s="623"/>
      <c r="L322" s="623"/>
      <c r="M322" s="597"/>
      <c r="N322" s="605"/>
      <c r="O322" s="605"/>
      <c r="P322" s="629"/>
      <c r="R322" s="617"/>
      <c r="S322" s="600"/>
      <c r="T322" s="600"/>
    </row>
    <row r="323" spans="10:20" x14ac:dyDescent="0.2">
      <c r="J323" s="623"/>
      <c r="K323" s="623"/>
      <c r="L323" s="623"/>
      <c r="M323" s="597"/>
      <c r="N323" s="605"/>
      <c r="O323" s="605"/>
      <c r="P323" s="629"/>
      <c r="R323" s="617"/>
      <c r="S323" s="600"/>
      <c r="T323" s="600"/>
    </row>
    <row r="324" spans="10:20" x14ac:dyDescent="0.2">
      <c r="J324" s="623"/>
      <c r="K324" s="623"/>
      <c r="L324" s="623"/>
      <c r="M324" s="597"/>
      <c r="N324" s="605"/>
      <c r="O324" s="605"/>
      <c r="P324" s="629"/>
      <c r="R324" s="617"/>
      <c r="S324" s="600"/>
      <c r="T324" s="600"/>
    </row>
    <row r="325" spans="10:20" x14ac:dyDescent="0.2">
      <c r="J325" s="623"/>
      <c r="K325" s="623"/>
      <c r="L325" s="623"/>
      <c r="M325" s="597"/>
      <c r="N325" s="605"/>
      <c r="O325" s="605"/>
      <c r="P325" s="629"/>
      <c r="R325" s="617"/>
      <c r="S325" s="600"/>
      <c r="T325" s="600"/>
    </row>
    <row r="326" spans="10:20" x14ac:dyDescent="0.2">
      <c r="J326" s="623"/>
      <c r="K326" s="623"/>
      <c r="L326" s="623"/>
      <c r="M326" s="597"/>
      <c r="N326" s="605"/>
      <c r="O326" s="605"/>
      <c r="P326" s="629"/>
      <c r="R326" s="617"/>
      <c r="S326" s="600"/>
      <c r="T326" s="600"/>
    </row>
    <row r="327" spans="10:20" x14ac:dyDescent="0.2">
      <c r="J327" s="623"/>
      <c r="K327" s="623"/>
      <c r="L327" s="623"/>
      <c r="M327" s="597"/>
      <c r="N327" s="605"/>
      <c r="O327" s="605"/>
      <c r="P327" s="629"/>
      <c r="R327" s="617"/>
      <c r="S327" s="600"/>
      <c r="T327" s="600"/>
    </row>
    <row r="328" spans="10:20" x14ac:dyDescent="0.2">
      <c r="J328" s="623"/>
      <c r="K328" s="623"/>
      <c r="L328" s="623"/>
      <c r="M328" s="597"/>
      <c r="N328" s="605"/>
      <c r="O328" s="605"/>
      <c r="P328" s="629"/>
      <c r="R328" s="617"/>
      <c r="S328" s="600"/>
      <c r="T328" s="600"/>
    </row>
    <row r="329" spans="10:20" x14ac:dyDescent="0.2">
      <c r="J329" s="623"/>
      <c r="K329" s="623"/>
      <c r="L329" s="623"/>
      <c r="M329" s="597"/>
      <c r="N329" s="605"/>
      <c r="O329" s="605"/>
      <c r="P329" s="629"/>
      <c r="R329" s="617"/>
      <c r="S329" s="600"/>
      <c r="T329" s="600"/>
    </row>
    <row r="330" spans="10:20" x14ac:dyDescent="0.2">
      <c r="J330" s="623"/>
      <c r="K330" s="623"/>
      <c r="L330" s="623"/>
      <c r="M330" s="597"/>
      <c r="N330" s="605"/>
      <c r="O330" s="605"/>
      <c r="P330" s="629"/>
      <c r="R330" s="617"/>
      <c r="S330" s="600"/>
      <c r="T330" s="600"/>
    </row>
    <row r="331" spans="10:20" x14ac:dyDescent="0.2">
      <c r="J331" s="623"/>
      <c r="K331" s="623"/>
      <c r="L331" s="623"/>
      <c r="M331" s="618"/>
      <c r="N331" s="619"/>
      <c r="O331" s="619"/>
      <c r="P331" s="630"/>
      <c r="R331" s="633"/>
      <c r="S331" s="620"/>
      <c r="T331" s="620"/>
    </row>
    <row r="332" spans="10:20" x14ac:dyDescent="0.2">
      <c r="J332" s="623"/>
      <c r="K332" s="623"/>
      <c r="L332" s="623"/>
      <c r="M332" s="604"/>
      <c r="N332" s="605"/>
      <c r="O332" s="605"/>
      <c r="P332" s="604"/>
      <c r="R332" s="624"/>
      <c r="S332" s="624"/>
      <c r="T332" s="624"/>
    </row>
    <row r="333" spans="10:20" x14ac:dyDescent="0.2">
      <c r="J333" s="623"/>
      <c r="K333" s="623"/>
      <c r="L333" s="623"/>
      <c r="M333" s="604"/>
      <c r="N333" s="605"/>
      <c r="O333" s="605"/>
      <c r="P333" s="604"/>
      <c r="R333" s="624"/>
      <c r="S333" s="624"/>
      <c r="T333" s="293"/>
    </row>
    <row r="334" spans="10:20" x14ac:dyDescent="0.2">
      <c r="J334" s="623"/>
      <c r="K334" s="623"/>
      <c r="L334" s="623"/>
      <c r="M334" s="604"/>
      <c r="N334" s="605"/>
      <c r="O334" s="605"/>
      <c r="P334" s="604"/>
      <c r="R334" s="624"/>
      <c r="S334" s="624"/>
      <c r="T334" s="293"/>
    </row>
    <row r="335" spans="10:20" x14ac:dyDescent="0.2">
      <c r="J335" s="623"/>
      <c r="K335" s="623"/>
      <c r="L335" s="623"/>
      <c r="M335" s="604"/>
      <c r="N335" s="605"/>
      <c r="O335" s="605"/>
      <c r="P335" s="604"/>
      <c r="R335" s="624"/>
      <c r="S335" s="624"/>
      <c r="T335" s="293"/>
    </row>
    <row r="336" spans="10:20" x14ac:dyDescent="0.2">
      <c r="J336" s="623"/>
      <c r="K336" s="623"/>
      <c r="L336" s="623"/>
      <c r="M336" s="604"/>
      <c r="N336" s="605"/>
      <c r="O336" s="605"/>
      <c r="P336" s="604"/>
      <c r="R336" s="624"/>
      <c r="S336" s="624"/>
      <c r="T336" s="293"/>
    </row>
    <row r="337" spans="1:20" x14ac:dyDescent="0.2">
      <c r="J337" s="623"/>
      <c r="K337" s="623"/>
      <c r="L337" s="623"/>
      <c r="M337" s="604"/>
      <c r="N337" s="605"/>
      <c r="O337" s="605"/>
      <c r="P337" s="604"/>
      <c r="R337" s="624"/>
      <c r="S337" s="624"/>
      <c r="T337" s="293"/>
    </row>
    <row r="338" spans="1:20" x14ac:dyDescent="0.2">
      <c r="J338" s="623"/>
      <c r="K338" s="623"/>
      <c r="L338" s="623"/>
      <c r="M338" s="604"/>
      <c r="N338" s="605"/>
      <c r="O338" s="605"/>
      <c r="P338" s="604"/>
      <c r="R338" s="624"/>
      <c r="S338" s="624"/>
      <c r="T338" s="293"/>
    </row>
    <row r="339" spans="1:20" x14ac:dyDescent="0.2">
      <c r="J339" s="623"/>
      <c r="K339" s="623"/>
      <c r="L339" s="623"/>
      <c r="M339" s="604"/>
      <c r="N339" s="605"/>
      <c r="O339" s="605"/>
      <c r="P339" s="604"/>
      <c r="R339" s="624"/>
      <c r="S339" s="624"/>
      <c r="T339" s="293"/>
    </row>
    <row r="340" spans="1:20" x14ac:dyDescent="0.2">
      <c r="M340" s="604"/>
      <c r="P340" s="604"/>
      <c r="R340" s="293"/>
      <c r="S340" s="293"/>
      <c r="T340" s="293"/>
    </row>
    <row r="341" spans="1:20" x14ac:dyDescent="0.2">
      <c r="M341" s="604"/>
      <c r="P341" s="604"/>
      <c r="R341" s="293"/>
      <c r="S341" s="293"/>
      <c r="T341" s="293"/>
    </row>
    <row r="342" spans="1:20" x14ac:dyDescent="0.2">
      <c r="M342" s="604"/>
      <c r="P342" s="604"/>
      <c r="R342" s="293"/>
      <c r="S342" s="293"/>
      <c r="T342" s="293"/>
    </row>
    <row r="343" spans="1:20" x14ac:dyDescent="0.2">
      <c r="K343" s="433"/>
      <c r="M343" s="604"/>
      <c r="P343" s="604"/>
      <c r="R343" s="293"/>
      <c r="S343" s="293"/>
      <c r="T343" s="293"/>
    </row>
    <row r="344" spans="1:20" x14ac:dyDescent="0.2">
      <c r="K344" s="433"/>
      <c r="M344" s="604"/>
      <c r="P344" s="604"/>
      <c r="R344" s="293"/>
      <c r="S344" s="293"/>
      <c r="T344" s="293"/>
    </row>
    <row r="345" spans="1:20" x14ac:dyDescent="0.2">
      <c r="K345" s="433"/>
      <c r="M345" s="604"/>
      <c r="P345" s="597"/>
      <c r="R345" s="293"/>
      <c r="S345" s="293"/>
      <c r="T345" s="293"/>
    </row>
    <row r="346" spans="1:20" x14ac:dyDescent="0.2">
      <c r="M346" s="604"/>
      <c r="P346" s="604"/>
      <c r="R346" s="293"/>
      <c r="S346" s="293"/>
      <c r="T346" s="293"/>
    </row>
    <row r="347" spans="1:20" x14ac:dyDescent="0.2">
      <c r="J347" s="225"/>
      <c r="K347" s="225"/>
      <c r="L347" s="225"/>
      <c r="M347" s="625"/>
      <c r="N347" s="225"/>
      <c r="O347" s="225"/>
      <c r="P347" s="626"/>
      <c r="R347" s="293"/>
      <c r="S347" s="293"/>
      <c r="T347" s="293"/>
    </row>
    <row r="348" spans="1:20" x14ac:dyDescent="0.2">
      <c r="A348" s="410"/>
      <c r="B348" s="262"/>
      <c r="C348" s="262"/>
      <c r="D348" s="433"/>
      <c r="E348" s="433"/>
      <c r="F348" s="433"/>
      <c r="G348" s="433"/>
      <c r="H348" s="433"/>
      <c r="I348" s="433"/>
      <c r="J348" s="225"/>
      <c r="K348" s="225"/>
      <c r="L348" s="225"/>
      <c r="M348" s="626"/>
      <c r="N348" s="225"/>
      <c r="O348" s="225"/>
      <c r="P348" s="626"/>
      <c r="R348" s="293"/>
      <c r="S348" s="293"/>
      <c r="T348" s="293"/>
    </row>
    <row r="349" spans="1:20" x14ac:dyDescent="0.2">
      <c r="A349" s="281"/>
      <c r="B349" s="281"/>
      <c r="C349" s="281"/>
      <c r="D349" s="258"/>
      <c r="E349" s="258"/>
      <c r="F349" s="258"/>
      <c r="G349" s="258"/>
      <c r="H349" s="258"/>
      <c r="I349" s="258"/>
      <c r="J349" s="258"/>
      <c r="K349" s="258"/>
      <c r="L349" s="258"/>
      <c r="M349" s="627"/>
      <c r="N349" s="258"/>
      <c r="O349" s="258"/>
      <c r="P349" s="627"/>
      <c r="R349" s="293"/>
      <c r="S349" s="293"/>
      <c r="T349" s="293"/>
    </row>
    <row r="350" spans="1:20" x14ac:dyDescent="0.2">
      <c r="A350" s="410"/>
      <c r="B350" s="262"/>
      <c r="C350" s="262"/>
      <c r="D350" s="433"/>
      <c r="E350" s="433"/>
      <c r="F350" s="433"/>
      <c r="G350" s="433"/>
      <c r="H350" s="433"/>
      <c r="I350" s="433"/>
      <c r="J350" s="225"/>
      <c r="K350" s="225"/>
      <c r="L350" s="225"/>
      <c r="M350" s="626"/>
      <c r="N350" s="225"/>
      <c r="O350" s="225"/>
      <c r="P350" s="626"/>
      <c r="R350" s="293"/>
      <c r="S350" s="293"/>
      <c r="T350" s="293"/>
    </row>
    <row r="351" spans="1:20" x14ac:dyDescent="0.2">
      <c r="A351" s="410"/>
      <c r="B351" s="262"/>
      <c r="C351" s="262"/>
      <c r="D351" s="433"/>
      <c r="E351" s="433"/>
      <c r="F351" s="433"/>
      <c r="G351" s="433"/>
      <c r="H351" s="433"/>
      <c r="I351" s="433"/>
      <c r="J351" s="225"/>
      <c r="K351" s="225"/>
      <c r="L351" s="225"/>
      <c r="M351" s="626"/>
      <c r="N351" s="225"/>
      <c r="O351" s="225"/>
      <c r="P351" s="626"/>
      <c r="R351" s="293"/>
      <c r="S351" s="293"/>
      <c r="T351" s="293"/>
    </row>
    <row r="352" spans="1:20" x14ac:dyDescent="0.2">
      <c r="B352" s="262"/>
      <c r="C352" s="262"/>
      <c r="D352" s="433"/>
      <c r="E352" s="433"/>
      <c r="F352" s="433"/>
      <c r="G352" s="433"/>
      <c r="H352" s="433"/>
      <c r="I352" s="433"/>
      <c r="M352" s="604"/>
      <c r="P352" s="604"/>
      <c r="R352" s="293"/>
      <c r="S352" s="293"/>
      <c r="T352" s="293"/>
    </row>
    <row r="353" spans="10:20" x14ac:dyDescent="0.2">
      <c r="M353" s="604"/>
      <c r="P353" s="604"/>
      <c r="R353" s="293"/>
      <c r="S353" s="293"/>
      <c r="T353" s="293"/>
    </row>
    <row r="354" spans="10:20" x14ac:dyDescent="0.2">
      <c r="M354" s="604"/>
      <c r="P354" s="604"/>
      <c r="R354" s="293"/>
      <c r="S354" s="293"/>
      <c r="T354" s="293"/>
    </row>
    <row r="355" spans="10:20" x14ac:dyDescent="0.2">
      <c r="M355" s="604"/>
      <c r="P355" s="604"/>
      <c r="R355" s="293"/>
      <c r="S355" s="293"/>
      <c r="T355" s="293"/>
    </row>
    <row r="356" spans="10:20" x14ac:dyDescent="0.2">
      <c r="M356" s="604"/>
      <c r="P356" s="604"/>
      <c r="R356" s="293"/>
      <c r="S356" s="293"/>
      <c r="T356" s="293"/>
    </row>
    <row r="357" spans="10:20" x14ac:dyDescent="0.2">
      <c r="M357" s="604"/>
      <c r="P357" s="604"/>
      <c r="R357" s="293"/>
      <c r="S357" s="293"/>
      <c r="T357" s="293"/>
    </row>
    <row r="358" spans="10:20" x14ac:dyDescent="0.2">
      <c r="M358" s="604"/>
      <c r="P358" s="604"/>
      <c r="R358" s="293"/>
      <c r="S358" s="293"/>
      <c r="T358" s="293"/>
    </row>
    <row r="359" spans="10:20" x14ac:dyDescent="0.2">
      <c r="J359" s="614"/>
      <c r="K359" s="614"/>
      <c r="L359" s="614"/>
      <c r="M359" s="629"/>
      <c r="N359" s="605"/>
      <c r="O359" s="605"/>
      <c r="P359" s="629"/>
      <c r="R359" s="293"/>
      <c r="S359" s="293"/>
      <c r="T359" s="293"/>
    </row>
    <row r="360" spans="10:20" x14ac:dyDescent="0.2">
      <c r="J360" s="614"/>
      <c r="K360" s="614"/>
      <c r="L360" s="614"/>
      <c r="M360" s="629"/>
      <c r="N360" s="605"/>
      <c r="O360" s="605"/>
      <c r="P360" s="629"/>
      <c r="R360" s="293"/>
      <c r="S360" s="293"/>
      <c r="T360" s="293"/>
    </row>
    <row r="361" spans="10:20" x14ac:dyDescent="0.2">
      <c r="J361" s="614"/>
      <c r="K361" s="614"/>
      <c r="L361" s="614"/>
      <c r="M361" s="629"/>
      <c r="N361" s="605"/>
      <c r="O361" s="605"/>
      <c r="P361" s="629"/>
      <c r="R361" s="293"/>
      <c r="S361" s="293"/>
      <c r="T361" s="293"/>
    </row>
    <row r="362" spans="10:20" x14ac:dyDescent="0.2">
      <c r="J362" s="614"/>
      <c r="K362" s="614"/>
      <c r="L362" s="614"/>
      <c r="M362" s="629"/>
      <c r="N362" s="605"/>
      <c r="O362" s="605"/>
      <c r="P362" s="629"/>
      <c r="R362" s="293"/>
      <c r="S362" s="293"/>
      <c r="T362" s="293"/>
    </row>
    <row r="363" spans="10:20" x14ac:dyDescent="0.2">
      <c r="J363" s="614"/>
      <c r="K363" s="614"/>
      <c r="L363" s="614"/>
      <c r="M363" s="629"/>
      <c r="N363" s="605"/>
      <c r="O363" s="605"/>
      <c r="P363" s="629"/>
      <c r="R363" s="293"/>
      <c r="S363" s="293"/>
      <c r="T363" s="293"/>
    </row>
    <row r="364" spans="10:20" x14ac:dyDescent="0.2">
      <c r="J364" s="614"/>
      <c r="K364" s="614"/>
      <c r="L364" s="614"/>
      <c r="M364" s="629"/>
      <c r="N364" s="605"/>
      <c r="O364" s="605"/>
      <c r="P364" s="629"/>
      <c r="R364" s="293"/>
      <c r="S364" s="293"/>
      <c r="T364" s="293"/>
    </row>
    <row r="365" spans="10:20" x14ac:dyDescent="0.2">
      <c r="J365" s="614"/>
      <c r="K365" s="614"/>
      <c r="L365" s="614"/>
      <c r="M365" s="629"/>
      <c r="N365" s="605"/>
      <c r="O365" s="605"/>
      <c r="P365" s="629"/>
      <c r="R365" s="293"/>
      <c r="S365" s="293"/>
      <c r="T365" s="293"/>
    </row>
    <row r="366" spans="10:20" x14ac:dyDescent="0.2">
      <c r="J366" s="614"/>
      <c r="K366" s="614"/>
      <c r="L366" s="614"/>
      <c r="M366" s="629"/>
      <c r="N366" s="605"/>
      <c r="O366" s="605"/>
      <c r="P366" s="629"/>
      <c r="R366" s="293"/>
      <c r="S366" s="293"/>
      <c r="T366" s="293"/>
    </row>
    <row r="367" spans="10:20" x14ac:dyDescent="0.2">
      <c r="J367" s="614"/>
      <c r="K367" s="614"/>
      <c r="L367" s="614"/>
      <c r="M367" s="629"/>
      <c r="N367" s="605"/>
      <c r="O367" s="605"/>
      <c r="P367" s="629"/>
      <c r="R367" s="293"/>
      <c r="S367" s="293"/>
      <c r="T367" s="293"/>
    </row>
    <row r="368" spans="10:20" x14ac:dyDescent="0.2">
      <c r="J368" s="614"/>
      <c r="K368" s="614"/>
      <c r="L368" s="614"/>
      <c r="M368" s="629"/>
      <c r="N368" s="605"/>
      <c r="O368" s="605"/>
      <c r="P368" s="629"/>
      <c r="R368" s="293"/>
      <c r="S368" s="293"/>
      <c r="T368" s="293"/>
    </row>
    <row r="369" spans="10:20" x14ac:dyDescent="0.2">
      <c r="J369" s="614"/>
      <c r="K369" s="614"/>
      <c r="L369" s="614"/>
      <c r="M369" s="629"/>
      <c r="N369" s="605"/>
      <c r="O369" s="605"/>
      <c r="P369" s="629"/>
      <c r="R369" s="293"/>
      <c r="S369" s="293"/>
      <c r="T369" s="293"/>
    </row>
    <row r="370" spans="10:20" x14ac:dyDescent="0.2">
      <c r="J370" s="614"/>
      <c r="K370" s="614"/>
      <c r="L370" s="614"/>
      <c r="M370" s="630"/>
      <c r="N370" s="619"/>
      <c r="O370" s="619"/>
      <c r="P370" s="630"/>
      <c r="R370" s="293"/>
      <c r="S370" s="293"/>
      <c r="T370" s="293"/>
    </row>
    <row r="371" spans="10:20" x14ac:dyDescent="0.2">
      <c r="J371" s="614"/>
      <c r="K371" s="614"/>
      <c r="L371" s="614"/>
      <c r="M371" s="604"/>
      <c r="N371" s="605"/>
      <c r="O371" s="605"/>
      <c r="P371" s="604"/>
      <c r="R371" s="293"/>
      <c r="S371" s="293"/>
      <c r="T371" s="293"/>
    </row>
    <row r="372" spans="10:20" x14ac:dyDescent="0.2">
      <c r="J372" s="614"/>
      <c r="K372" s="614"/>
      <c r="L372" s="614"/>
      <c r="M372" s="604"/>
      <c r="P372" s="604"/>
      <c r="R372" s="293"/>
      <c r="S372" s="293"/>
      <c r="T372" s="293"/>
    </row>
    <row r="373" spans="10:20" x14ac:dyDescent="0.2">
      <c r="J373" s="614"/>
      <c r="K373" s="614"/>
      <c r="L373" s="614"/>
      <c r="M373" s="604"/>
      <c r="P373" s="604"/>
      <c r="R373" s="293"/>
      <c r="S373" s="293"/>
      <c r="T373" s="293"/>
    </row>
    <row r="374" spans="10:20" x14ac:dyDescent="0.2">
      <c r="J374" s="614"/>
      <c r="K374" s="614"/>
      <c r="L374" s="614"/>
      <c r="M374" s="604"/>
      <c r="P374" s="604"/>
      <c r="R374" s="293"/>
      <c r="S374" s="293"/>
      <c r="T374" s="293"/>
    </row>
    <row r="375" spans="10:20" x14ac:dyDescent="0.2">
      <c r="J375" s="614"/>
      <c r="K375" s="614"/>
      <c r="L375" s="614"/>
      <c r="M375" s="597"/>
      <c r="N375" s="605"/>
      <c r="O375" s="605"/>
      <c r="P375" s="629"/>
      <c r="R375" s="617"/>
      <c r="S375" s="617"/>
      <c r="T375" s="617"/>
    </row>
    <row r="376" spans="10:20" x14ac:dyDescent="0.2">
      <c r="J376" s="614"/>
      <c r="K376" s="614"/>
      <c r="L376" s="614"/>
      <c r="M376" s="597"/>
      <c r="N376" s="605"/>
      <c r="O376" s="605"/>
      <c r="P376" s="629"/>
      <c r="R376" s="617"/>
      <c r="S376" s="617"/>
      <c r="T376" s="617"/>
    </row>
    <row r="377" spans="10:20" x14ac:dyDescent="0.2">
      <c r="J377" s="614"/>
      <c r="K377" s="614"/>
      <c r="L377" s="614"/>
      <c r="M377" s="597"/>
      <c r="N377" s="605"/>
      <c r="O377" s="605"/>
      <c r="P377" s="629"/>
      <c r="R377" s="617"/>
      <c r="S377" s="617"/>
      <c r="T377" s="617"/>
    </row>
    <row r="378" spans="10:20" x14ac:dyDescent="0.2">
      <c r="J378" s="614"/>
      <c r="K378" s="614"/>
      <c r="L378" s="614"/>
      <c r="M378" s="597"/>
      <c r="N378" s="605"/>
      <c r="O378" s="605"/>
      <c r="P378" s="629"/>
      <c r="R378" s="617"/>
      <c r="S378" s="617"/>
      <c r="T378" s="617"/>
    </row>
    <row r="379" spans="10:20" x14ac:dyDescent="0.2">
      <c r="J379" s="614"/>
      <c r="K379" s="614"/>
      <c r="L379" s="614"/>
      <c r="M379" s="597"/>
      <c r="N379" s="605"/>
      <c r="O379" s="605"/>
      <c r="P379" s="629"/>
      <c r="R379" s="617"/>
      <c r="S379" s="617"/>
      <c r="T379" s="617"/>
    </row>
    <row r="380" spans="10:20" x14ac:dyDescent="0.2">
      <c r="J380" s="614"/>
      <c r="K380" s="614"/>
      <c r="L380" s="614"/>
      <c r="M380" s="597"/>
      <c r="N380" s="605"/>
      <c r="O380" s="605"/>
      <c r="P380" s="629"/>
      <c r="R380" s="617"/>
      <c r="S380" s="617"/>
      <c r="T380" s="617"/>
    </row>
    <row r="381" spans="10:20" x14ac:dyDescent="0.2">
      <c r="J381" s="614"/>
      <c r="K381" s="614"/>
      <c r="L381" s="614"/>
      <c r="M381" s="597"/>
      <c r="N381" s="605"/>
      <c r="O381" s="605"/>
      <c r="P381" s="629"/>
      <c r="R381" s="617"/>
      <c r="S381" s="617"/>
      <c r="T381" s="617"/>
    </row>
    <row r="382" spans="10:20" x14ac:dyDescent="0.2">
      <c r="J382" s="614"/>
      <c r="K382" s="614"/>
      <c r="L382" s="614"/>
      <c r="M382" s="597"/>
      <c r="N382" s="605"/>
      <c r="O382" s="605"/>
      <c r="P382" s="629"/>
      <c r="R382" s="617"/>
      <c r="S382" s="617"/>
      <c r="T382" s="617"/>
    </row>
    <row r="383" spans="10:20" x14ac:dyDescent="0.2">
      <c r="J383" s="614"/>
      <c r="K383" s="614"/>
      <c r="L383" s="614"/>
      <c r="M383" s="597"/>
      <c r="N383" s="605"/>
      <c r="O383" s="605"/>
      <c r="P383" s="629"/>
      <c r="R383" s="617"/>
      <c r="S383" s="617"/>
      <c r="T383" s="617"/>
    </row>
    <row r="384" spans="10:20" x14ac:dyDescent="0.2">
      <c r="J384" s="614"/>
      <c r="K384" s="614"/>
      <c r="L384" s="614"/>
      <c r="M384" s="597"/>
      <c r="N384" s="605"/>
      <c r="O384" s="605"/>
      <c r="P384" s="629"/>
      <c r="R384" s="617"/>
      <c r="S384" s="617"/>
      <c r="T384" s="617"/>
    </row>
    <row r="385" spans="10:20" x14ac:dyDescent="0.2">
      <c r="J385" s="614"/>
      <c r="K385" s="614"/>
      <c r="L385" s="614"/>
      <c r="M385" s="597"/>
      <c r="N385" s="605"/>
      <c r="O385" s="605"/>
      <c r="P385" s="629"/>
      <c r="R385" s="617"/>
      <c r="S385" s="617"/>
      <c r="T385" s="617"/>
    </row>
    <row r="386" spans="10:20" x14ac:dyDescent="0.2">
      <c r="J386" s="614"/>
      <c r="K386" s="614"/>
      <c r="L386" s="614"/>
      <c r="M386" s="618"/>
      <c r="N386" s="619"/>
      <c r="O386" s="619"/>
      <c r="P386" s="630"/>
      <c r="R386" s="621"/>
      <c r="S386" s="621"/>
      <c r="T386" s="621"/>
    </row>
    <row r="387" spans="10:20" x14ac:dyDescent="0.2">
      <c r="J387" s="623"/>
      <c r="K387" s="623"/>
      <c r="L387" s="623"/>
      <c r="M387" s="604"/>
      <c r="N387" s="605"/>
      <c r="O387" s="605"/>
      <c r="P387" s="604"/>
      <c r="R387" s="624"/>
      <c r="S387" s="624"/>
      <c r="T387" s="624"/>
    </row>
    <row r="388" spans="10:20" x14ac:dyDescent="0.2">
      <c r="M388" s="604"/>
      <c r="P388" s="604"/>
      <c r="R388" s="293"/>
      <c r="S388" s="293"/>
      <c r="T388" s="293"/>
    </row>
    <row r="389" spans="10:20" x14ac:dyDescent="0.2">
      <c r="M389" s="604"/>
      <c r="P389" s="604"/>
      <c r="R389" s="293"/>
      <c r="S389" s="293"/>
      <c r="T389" s="293"/>
    </row>
    <row r="390" spans="10:20" x14ac:dyDescent="0.2">
      <c r="M390" s="604"/>
      <c r="P390" s="604"/>
      <c r="R390" s="293"/>
      <c r="S390" s="293"/>
      <c r="T390" s="293"/>
    </row>
    <row r="391" spans="10:20" x14ac:dyDescent="0.2">
      <c r="M391" s="604"/>
      <c r="P391" s="604"/>
      <c r="R391" s="293"/>
      <c r="S391" s="293"/>
      <c r="T391" s="293"/>
    </row>
    <row r="392" spans="10:20" x14ac:dyDescent="0.2">
      <c r="M392" s="604"/>
      <c r="P392" s="604"/>
      <c r="R392" s="293"/>
      <c r="S392" s="293"/>
      <c r="T392" s="293"/>
    </row>
    <row r="393" spans="10:20" x14ac:dyDescent="0.2">
      <c r="M393" s="604"/>
      <c r="P393" s="604"/>
      <c r="R393" s="293"/>
      <c r="S393" s="293"/>
      <c r="T393" s="293"/>
    </row>
    <row r="394" spans="10:20" x14ac:dyDescent="0.2">
      <c r="M394" s="604"/>
      <c r="P394" s="604"/>
      <c r="R394" s="293"/>
      <c r="S394" s="293"/>
      <c r="T394" s="293"/>
    </row>
    <row r="395" spans="10:20" x14ac:dyDescent="0.2">
      <c r="M395" s="604"/>
      <c r="P395" s="604"/>
      <c r="R395" s="293"/>
      <c r="S395" s="293"/>
      <c r="T395" s="293"/>
    </row>
    <row r="396" spans="10:20" x14ac:dyDescent="0.2">
      <c r="M396" s="604"/>
      <c r="P396" s="604"/>
      <c r="R396" s="293"/>
      <c r="S396" s="293"/>
      <c r="T396" s="293"/>
    </row>
    <row r="397" spans="10:20" x14ac:dyDescent="0.2">
      <c r="M397" s="604"/>
      <c r="P397" s="604"/>
      <c r="R397" s="293"/>
      <c r="S397" s="293"/>
      <c r="T397" s="293"/>
    </row>
    <row r="398" spans="10:20" x14ac:dyDescent="0.2">
      <c r="K398" s="433"/>
      <c r="M398" s="604"/>
      <c r="P398" s="604"/>
      <c r="R398" s="293"/>
      <c r="S398" s="293"/>
      <c r="T398" s="293"/>
    </row>
    <row r="399" spans="10:20" x14ac:dyDescent="0.2">
      <c r="K399" s="433"/>
      <c r="M399" s="604"/>
      <c r="P399" s="604"/>
      <c r="R399" s="293"/>
      <c r="S399" s="293"/>
      <c r="T399" s="293"/>
    </row>
    <row r="400" spans="10:20" x14ac:dyDescent="0.2">
      <c r="K400" s="433"/>
      <c r="M400" s="604"/>
      <c r="P400" s="597"/>
      <c r="R400" s="293"/>
      <c r="S400" s="293"/>
      <c r="T400" s="293"/>
    </row>
    <row r="401" spans="1:20" x14ac:dyDescent="0.2">
      <c r="M401" s="604"/>
      <c r="P401" s="604"/>
      <c r="R401" s="293"/>
      <c r="S401" s="293"/>
      <c r="T401" s="293"/>
    </row>
    <row r="402" spans="1:20" x14ac:dyDescent="0.2">
      <c r="J402" s="225"/>
      <c r="K402" s="225"/>
      <c r="L402" s="225"/>
      <c r="M402" s="625"/>
      <c r="N402" s="225"/>
      <c r="O402" s="225"/>
      <c r="P402" s="626"/>
      <c r="R402" s="293"/>
      <c r="S402" s="293"/>
      <c r="T402" s="293"/>
    </row>
    <row r="403" spans="1:20" x14ac:dyDescent="0.2">
      <c r="A403" s="410"/>
      <c r="B403" s="262"/>
      <c r="C403" s="262"/>
      <c r="D403" s="433"/>
      <c r="E403" s="433"/>
      <c r="F403" s="433"/>
      <c r="G403" s="433"/>
      <c r="H403" s="433"/>
      <c r="I403" s="433"/>
      <c r="J403" s="225"/>
      <c r="K403" s="225"/>
      <c r="L403" s="225"/>
      <c r="M403" s="626"/>
      <c r="N403" s="225"/>
      <c r="O403" s="225"/>
      <c r="P403" s="626"/>
      <c r="R403" s="293"/>
      <c r="S403" s="293"/>
      <c r="T403" s="293"/>
    </row>
    <row r="404" spans="1:20" x14ac:dyDescent="0.2">
      <c r="A404" s="281"/>
      <c r="B404" s="281"/>
      <c r="C404" s="281"/>
      <c r="D404" s="258"/>
      <c r="E404" s="258"/>
      <c r="F404" s="258"/>
      <c r="G404" s="258"/>
      <c r="H404" s="258"/>
      <c r="I404" s="258"/>
      <c r="J404" s="258"/>
      <c r="K404" s="258"/>
      <c r="L404" s="258"/>
      <c r="M404" s="627"/>
      <c r="N404" s="258"/>
      <c r="O404" s="258"/>
      <c r="P404" s="627"/>
      <c r="R404" s="293"/>
      <c r="S404" s="293"/>
      <c r="T404" s="293"/>
    </row>
    <row r="405" spans="1:20" x14ac:dyDescent="0.2">
      <c r="A405" s="410"/>
      <c r="B405" s="262"/>
      <c r="C405" s="262"/>
      <c r="D405" s="433"/>
      <c r="E405" s="433"/>
      <c r="F405" s="433"/>
      <c r="G405" s="433"/>
      <c r="H405" s="433"/>
      <c r="I405" s="433"/>
      <c r="J405" s="225"/>
      <c r="K405" s="225"/>
      <c r="L405" s="225"/>
      <c r="M405" s="626"/>
      <c r="N405" s="225"/>
      <c r="O405" s="225"/>
      <c r="P405" s="626"/>
      <c r="R405" s="293"/>
      <c r="S405" s="293"/>
      <c r="T405" s="293"/>
    </row>
    <row r="406" spans="1:20" x14ac:dyDescent="0.2">
      <c r="A406" s="410"/>
      <c r="B406" s="262"/>
      <c r="C406" s="262"/>
      <c r="D406" s="433"/>
      <c r="E406" s="433"/>
      <c r="F406" s="433"/>
      <c r="G406" s="433"/>
      <c r="H406" s="433"/>
      <c r="I406" s="433"/>
      <c r="J406" s="225"/>
      <c r="K406" s="225"/>
      <c r="L406" s="225"/>
      <c r="M406" s="626"/>
      <c r="N406" s="225"/>
      <c r="O406" s="225"/>
      <c r="P406" s="626"/>
      <c r="R406" s="293"/>
      <c r="S406" s="293"/>
      <c r="T406" s="293"/>
    </row>
    <row r="407" spans="1:20" x14ac:dyDescent="0.2">
      <c r="B407" s="262"/>
      <c r="C407" s="262"/>
      <c r="D407" s="433"/>
      <c r="E407" s="433"/>
      <c r="F407" s="433"/>
      <c r="G407" s="433"/>
      <c r="H407" s="433"/>
      <c r="I407" s="433"/>
      <c r="M407" s="604"/>
      <c r="P407" s="604"/>
      <c r="R407" s="293"/>
      <c r="S407" s="293"/>
      <c r="T407" s="293"/>
    </row>
    <row r="408" spans="1:20" x14ac:dyDescent="0.2">
      <c r="M408" s="604"/>
      <c r="P408" s="604"/>
      <c r="R408" s="293"/>
      <c r="S408" s="293"/>
      <c r="T408" s="293"/>
    </row>
    <row r="409" spans="1:20" x14ac:dyDescent="0.2">
      <c r="M409" s="604"/>
      <c r="P409" s="604"/>
      <c r="R409" s="293"/>
      <c r="S409" s="293"/>
      <c r="T409" s="293"/>
    </row>
    <row r="410" spans="1:20" x14ac:dyDescent="0.2">
      <c r="R410" s="293"/>
      <c r="S410" s="293"/>
      <c r="T410" s="293"/>
    </row>
    <row r="411" spans="1:20" x14ac:dyDescent="0.2">
      <c r="R411" s="293"/>
      <c r="S411" s="293"/>
      <c r="T411" s="293"/>
    </row>
    <row r="412" spans="1:20" x14ac:dyDescent="0.2">
      <c r="M412" s="604"/>
      <c r="P412" s="604"/>
      <c r="R412" s="293"/>
      <c r="S412" s="293"/>
      <c r="T412" s="293"/>
    </row>
    <row r="413" spans="1:20" x14ac:dyDescent="0.2">
      <c r="M413" s="604"/>
      <c r="P413" s="604"/>
      <c r="R413" s="293"/>
      <c r="S413" s="293"/>
      <c r="T413" s="293"/>
    </row>
    <row r="414" spans="1:20" x14ac:dyDescent="0.2">
      <c r="J414" s="614"/>
      <c r="K414" s="614"/>
      <c r="L414" s="614"/>
      <c r="M414" s="629"/>
      <c r="N414" s="605"/>
      <c r="O414" s="605"/>
      <c r="P414" s="629"/>
      <c r="R414" s="293"/>
      <c r="S414" s="293"/>
      <c r="T414" s="293"/>
    </row>
    <row r="415" spans="1:20" x14ac:dyDescent="0.2">
      <c r="J415" s="614"/>
      <c r="K415" s="614"/>
      <c r="L415" s="614"/>
      <c r="M415" s="629"/>
      <c r="N415" s="605"/>
      <c r="O415" s="605"/>
      <c r="P415" s="629"/>
      <c r="R415" s="293"/>
      <c r="S415" s="293"/>
      <c r="T415" s="293"/>
    </row>
    <row r="416" spans="1:20" x14ac:dyDescent="0.2">
      <c r="J416" s="614"/>
      <c r="K416" s="614"/>
      <c r="L416" s="614"/>
      <c r="M416" s="629"/>
      <c r="N416" s="605"/>
      <c r="O416" s="605"/>
      <c r="P416" s="629"/>
      <c r="R416" s="293"/>
      <c r="S416" s="293"/>
      <c r="T416" s="293"/>
    </row>
    <row r="417" spans="10:20" x14ac:dyDescent="0.2">
      <c r="J417" s="614"/>
      <c r="K417" s="614"/>
      <c r="L417" s="614"/>
      <c r="M417" s="629"/>
      <c r="N417" s="605"/>
      <c r="O417" s="605"/>
      <c r="P417" s="629"/>
      <c r="R417" s="293"/>
      <c r="S417" s="293"/>
      <c r="T417" s="293"/>
    </row>
    <row r="418" spans="10:20" x14ac:dyDescent="0.2">
      <c r="J418" s="614"/>
      <c r="K418" s="614"/>
      <c r="L418" s="614"/>
      <c r="M418" s="629"/>
      <c r="N418" s="605"/>
      <c r="O418" s="605"/>
      <c r="P418" s="629"/>
      <c r="R418" s="293"/>
      <c r="S418" s="293"/>
      <c r="T418" s="293"/>
    </row>
    <row r="419" spans="10:20" x14ac:dyDescent="0.2">
      <c r="J419" s="614"/>
      <c r="K419" s="614"/>
      <c r="L419" s="614"/>
      <c r="M419" s="629"/>
      <c r="N419" s="605"/>
      <c r="O419" s="605"/>
      <c r="P419" s="629"/>
      <c r="R419" s="293"/>
      <c r="S419" s="293"/>
      <c r="T419" s="293"/>
    </row>
    <row r="420" spans="10:20" x14ac:dyDescent="0.2">
      <c r="J420" s="614"/>
      <c r="K420" s="614"/>
      <c r="L420" s="614"/>
      <c r="M420" s="629"/>
      <c r="N420" s="605"/>
      <c r="O420" s="605"/>
      <c r="P420" s="629"/>
      <c r="R420" s="293"/>
      <c r="S420" s="293"/>
      <c r="T420" s="293"/>
    </row>
    <row r="421" spans="10:20" x14ac:dyDescent="0.2">
      <c r="J421" s="614"/>
      <c r="K421" s="614"/>
      <c r="L421" s="614"/>
      <c r="M421" s="629"/>
      <c r="N421" s="605"/>
      <c r="O421" s="605"/>
      <c r="P421" s="629"/>
      <c r="R421" s="293"/>
      <c r="S421" s="293"/>
      <c r="T421" s="293"/>
    </row>
    <row r="422" spans="10:20" x14ac:dyDescent="0.2">
      <c r="J422" s="614"/>
      <c r="K422" s="614"/>
      <c r="L422" s="614"/>
      <c r="M422" s="629"/>
      <c r="N422" s="605"/>
      <c r="O422" s="605"/>
      <c r="P422" s="629"/>
      <c r="R422" s="293"/>
      <c r="S422" s="293"/>
      <c r="T422" s="293"/>
    </row>
    <row r="423" spans="10:20" x14ac:dyDescent="0.2">
      <c r="J423" s="614"/>
      <c r="K423" s="614"/>
      <c r="L423" s="614"/>
      <c r="M423" s="629"/>
      <c r="N423" s="605"/>
      <c r="O423" s="605"/>
      <c r="P423" s="629"/>
      <c r="R423" s="293"/>
      <c r="S423" s="293"/>
      <c r="T423" s="293"/>
    </row>
    <row r="424" spans="10:20" x14ac:dyDescent="0.2">
      <c r="J424" s="614"/>
      <c r="K424" s="614"/>
      <c r="L424" s="614"/>
      <c r="M424" s="629"/>
      <c r="N424" s="605"/>
      <c r="O424" s="605"/>
      <c r="P424" s="629"/>
      <c r="R424" s="293"/>
      <c r="S424" s="293"/>
      <c r="T424" s="293"/>
    </row>
    <row r="425" spans="10:20" x14ac:dyDescent="0.2">
      <c r="J425" s="614"/>
      <c r="K425" s="614"/>
      <c r="L425" s="614"/>
      <c r="M425" s="630"/>
      <c r="N425" s="619"/>
      <c r="O425" s="619"/>
      <c r="P425" s="630"/>
      <c r="R425" s="293"/>
      <c r="S425" s="293"/>
      <c r="T425" s="293"/>
    </row>
    <row r="426" spans="10:20" x14ac:dyDescent="0.2">
      <c r="J426" s="614"/>
      <c r="K426" s="614"/>
      <c r="L426" s="614"/>
      <c r="M426" s="604"/>
      <c r="N426" s="605"/>
      <c r="O426" s="605"/>
      <c r="P426" s="604"/>
      <c r="R426" s="293"/>
      <c r="S426" s="293"/>
      <c r="T426" s="293"/>
    </row>
    <row r="427" spans="10:20" x14ac:dyDescent="0.2">
      <c r="J427" s="614"/>
      <c r="K427" s="614"/>
      <c r="L427" s="614"/>
      <c r="M427" s="604"/>
      <c r="P427" s="604"/>
      <c r="R427" s="293"/>
      <c r="S427" s="293"/>
      <c r="T427" s="293"/>
    </row>
    <row r="428" spans="10:20" x14ac:dyDescent="0.2">
      <c r="J428" s="614"/>
      <c r="K428" s="614"/>
      <c r="L428" s="614"/>
      <c r="M428" s="604"/>
      <c r="P428" s="604"/>
      <c r="R428" s="293"/>
      <c r="S428" s="293"/>
      <c r="T428" s="293"/>
    </row>
    <row r="429" spans="10:20" x14ac:dyDescent="0.2">
      <c r="J429" s="614"/>
      <c r="K429" s="614"/>
      <c r="L429" s="614"/>
      <c r="M429" s="604"/>
      <c r="P429" s="604"/>
      <c r="R429" s="293"/>
      <c r="S429" s="293"/>
      <c r="T429" s="293"/>
    </row>
    <row r="430" spans="10:20" x14ac:dyDescent="0.2">
      <c r="J430" s="614"/>
      <c r="K430" s="614"/>
      <c r="L430" s="614"/>
      <c r="M430" s="629"/>
      <c r="N430" s="605"/>
      <c r="O430" s="605"/>
      <c r="P430" s="629"/>
      <c r="R430" s="293"/>
      <c r="S430" s="293"/>
      <c r="T430" s="293"/>
    </row>
    <row r="431" spans="10:20" x14ac:dyDescent="0.2">
      <c r="J431" s="614"/>
      <c r="K431" s="614"/>
      <c r="L431" s="614"/>
      <c r="M431" s="629"/>
      <c r="N431" s="605"/>
      <c r="O431" s="605"/>
      <c r="P431" s="629"/>
      <c r="R431" s="293"/>
      <c r="S431" s="293"/>
      <c r="T431" s="293"/>
    </row>
    <row r="432" spans="10:20" x14ac:dyDescent="0.2">
      <c r="J432" s="614"/>
      <c r="K432" s="614"/>
      <c r="L432" s="614"/>
      <c r="M432" s="629"/>
      <c r="N432" s="605"/>
      <c r="O432" s="605"/>
      <c r="P432" s="629"/>
      <c r="R432" s="293"/>
      <c r="S432" s="293"/>
      <c r="T432" s="293"/>
    </row>
    <row r="433" spans="10:20" x14ac:dyDescent="0.2">
      <c r="J433" s="614"/>
      <c r="K433" s="614"/>
      <c r="L433" s="614"/>
      <c r="M433" s="629"/>
      <c r="N433" s="605"/>
      <c r="O433" s="605"/>
      <c r="P433" s="629"/>
      <c r="R433" s="293"/>
      <c r="S433" s="293"/>
      <c r="T433" s="293"/>
    </row>
    <row r="434" spans="10:20" x14ac:dyDescent="0.2">
      <c r="J434" s="614"/>
      <c r="K434" s="614"/>
      <c r="L434" s="614"/>
      <c r="M434" s="629"/>
      <c r="N434" s="605"/>
      <c r="O434" s="605"/>
      <c r="P434" s="629"/>
      <c r="R434" s="293"/>
      <c r="S434" s="293"/>
      <c r="T434" s="293"/>
    </row>
    <row r="435" spans="10:20" x14ac:dyDescent="0.2">
      <c r="J435" s="614"/>
      <c r="K435" s="614"/>
      <c r="L435" s="614"/>
      <c r="M435" s="629"/>
      <c r="N435" s="605"/>
      <c r="O435" s="605"/>
      <c r="P435" s="629"/>
      <c r="R435" s="293"/>
      <c r="S435" s="293"/>
      <c r="T435" s="293"/>
    </row>
    <row r="436" spans="10:20" x14ac:dyDescent="0.2">
      <c r="J436" s="614"/>
      <c r="K436" s="614"/>
      <c r="L436" s="614"/>
      <c r="M436" s="629"/>
      <c r="N436" s="605"/>
      <c r="O436" s="605"/>
      <c r="P436" s="629"/>
      <c r="R436" s="293"/>
      <c r="S436" s="293"/>
      <c r="T436" s="293"/>
    </row>
    <row r="437" spans="10:20" x14ac:dyDescent="0.2">
      <c r="J437" s="614"/>
      <c r="K437" s="614"/>
      <c r="L437" s="614"/>
      <c r="M437" s="629"/>
      <c r="N437" s="605"/>
      <c r="O437" s="605"/>
      <c r="P437" s="629"/>
      <c r="R437" s="293"/>
      <c r="S437" s="293"/>
      <c r="T437" s="293"/>
    </row>
    <row r="438" spans="10:20" x14ac:dyDescent="0.2">
      <c r="J438" s="614"/>
      <c r="K438" s="614"/>
      <c r="L438" s="614"/>
      <c r="M438" s="629"/>
      <c r="N438" s="605"/>
      <c r="O438" s="605"/>
      <c r="P438" s="629"/>
      <c r="R438" s="293"/>
      <c r="S438" s="293"/>
      <c r="T438" s="293"/>
    </row>
    <row r="439" spans="10:20" x14ac:dyDescent="0.2">
      <c r="J439" s="614"/>
      <c r="K439" s="614"/>
      <c r="L439" s="614"/>
      <c r="M439" s="629"/>
      <c r="N439" s="605"/>
      <c r="O439" s="605"/>
      <c r="P439" s="629"/>
      <c r="R439" s="293"/>
      <c r="S439" s="293"/>
      <c r="T439" s="293"/>
    </row>
    <row r="440" spans="10:20" x14ac:dyDescent="0.2">
      <c r="J440" s="614"/>
      <c r="K440" s="614"/>
      <c r="L440" s="614"/>
      <c r="M440" s="629"/>
      <c r="N440" s="605"/>
      <c r="O440" s="605"/>
      <c r="P440" s="629"/>
      <c r="R440" s="293"/>
      <c r="S440" s="293"/>
      <c r="T440" s="293"/>
    </row>
    <row r="441" spans="10:20" x14ac:dyDescent="0.2">
      <c r="J441" s="614"/>
      <c r="K441" s="614"/>
      <c r="L441" s="614"/>
      <c r="M441" s="630"/>
      <c r="N441" s="619"/>
      <c r="O441" s="619"/>
      <c r="P441" s="630"/>
      <c r="R441" s="293"/>
      <c r="S441" s="293"/>
      <c r="T441" s="293"/>
    </row>
    <row r="442" spans="10:20" x14ac:dyDescent="0.2">
      <c r="J442" s="623"/>
      <c r="K442" s="623"/>
      <c r="L442" s="623"/>
      <c r="M442" s="604"/>
      <c r="N442" s="605"/>
      <c r="O442" s="605"/>
      <c r="P442" s="604"/>
      <c r="R442" s="293"/>
      <c r="S442" s="293"/>
      <c r="T442" s="293"/>
    </row>
    <row r="443" spans="10:20" x14ac:dyDescent="0.2">
      <c r="M443" s="604"/>
      <c r="P443" s="604"/>
      <c r="R443" s="293"/>
      <c r="S443" s="293"/>
      <c r="T443" s="293"/>
    </row>
    <row r="444" spans="10:20" x14ac:dyDescent="0.2">
      <c r="M444" s="604"/>
      <c r="P444" s="604"/>
      <c r="R444" s="293"/>
      <c r="S444" s="293"/>
      <c r="T444" s="293"/>
    </row>
    <row r="445" spans="10:20" x14ac:dyDescent="0.2">
      <c r="M445" s="604"/>
      <c r="P445" s="604"/>
      <c r="R445" s="293"/>
      <c r="S445" s="293"/>
      <c r="T445" s="293"/>
    </row>
    <row r="446" spans="10:20" x14ac:dyDescent="0.2">
      <c r="M446" s="604"/>
      <c r="P446" s="604"/>
      <c r="R446" s="293"/>
      <c r="S446" s="293"/>
      <c r="T446" s="293"/>
    </row>
    <row r="447" spans="10:20" x14ac:dyDescent="0.2">
      <c r="M447" s="604"/>
      <c r="P447" s="604"/>
      <c r="R447" s="293"/>
      <c r="S447" s="293"/>
      <c r="T447" s="293"/>
    </row>
    <row r="448" spans="10:20" x14ac:dyDescent="0.2">
      <c r="M448" s="604"/>
      <c r="P448" s="604"/>
      <c r="R448" s="293"/>
      <c r="S448" s="293"/>
      <c r="T448" s="293"/>
    </row>
    <row r="449" spans="1:20" x14ac:dyDescent="0.2">
      <c r="M449" s="604"/>
      <c r="P449" s="604"/>
      <c r="R449" s="293"/>
      <c r="S449" s="293"/>
      <c r="T449" s="293"/>
    </row>
    <row r="450" spans="1:20" x14ac:dyDescent="0.2">
      <c r="M450" s="604"/>
      <c r="P450" s="604"/>
      <c r="R450" s="293"/>
      <c r="S450" s="293"/>
      <c r="T450" s="293"/>
    </row>
    <row r="451" spans="1:20" x14ac:dyDescent="0.2">
      <c r="M451" s="604"/>
      <c r="P451" s="604"/>
      <c r="R451" s="293"/>
      <c r="S451" s="293"/>
      <c r="T451" s="293"/>
    </row>
    <row r="452" spans="1:20" x14ac:dyDescent="0.2">
      <c r="M452" s="604"/>
      <c r="P452" s="604"/>
      <c r="R452" s="293"/>
      <c r="S452" s="293"/>
      <c r="T452" s="293"/>
    </row>
    <row r="453" spans="1:20" x14ac:dyDescent="0.2">
      <c r="K453" s="433"/>
      <c r="M453" s="604"/>
      <c r="P453" s="604"/>
      <c r="R453" s="293"/>
      <c r="S453" s="293"/>
      <c r="T453" s="293"/>
    </row>
    <row r="454" spans="1:20" x14ac:dyDescent="0.2">
      <c r="K454" s="433"/>
      <c r="M454" s="604"/>
      <c r="P454" s="604"/>
      <c r="R454" s="293"/>
      <c r="S454" s="293"/>
      <c r="T454" s="293"/>
    </row>
    <row r="455" spans="1:20" x14ac:dyDescent="0.2">
      <c r="K455" s="433"/>
      <c r="M455" s="604"/>
      <c r="P455" s="597"/>
      <c r="R455" s="293"/>
      <c r="S455" s="293"/>
      <c r="T455" s="293"/>
    </row>
    <row r="456" spans="1:20" x14ac:dyDescent="0.2">
      <c r="M456" s="604"/>
      <c r="P456" s="604"/>
      <c r="R456" s="293"/>
      <c r="S456" s="293"/>
      <c r="T456" s="293"/>
    </row>
    <row r="457" spans="1:20" x14ac:dyDescent="0.2">
      <c r="J457" s="225"/>
      <c r="K457" s="225"/>
      <c r="L457" s="225"/>
      <c r="M457" s="625"/>
      <c r="N457" s="225"/>
      <c r="O457" s="225"/>
      <c r="P457" s="626"/>
      <c r="R457" s="293"/>
      <c r="S457" s="293"/>
      <c r="T457" s="293"/>
    </row>
    <row r="458" spans="1:20" x14ac:dyDescent="0.2">
      <c r="A458" s="410"/>
      <c r="B458" s="262"/>
      <c r="C458" s="262"/>
      <c r="D458" s="433"/>
      <c r="E458" s="433"/>
      <c r="F458" s="433"/>
      <c r="G458" s="433"/>
      <c r="H458" s="433"/>
      <c r="I458" s="433"/>
      <c r="J458" s="225"/>
      <c r="K458" s="225"/>
      <c r="L458" s="225"/>
      <c r="M458" s="626"/>
      <c r="N458" s="225"/>
      <c r="O458" s="225"/>
      <c r="P458" s="626"/>
      <c r="R458" s="293"/>
      <c r="S458" s="293"/>
      <c r="T458" s="293"/>
    </row>
    <row r="459" spans="1:20" x14ac:dyDescent="0.2">
      <c r="A459" s="281"/>
      <c r="B459" s="281"/>
      <c r="C459" s="281"/>
      <c r="D459" s="258"/>
      <c r="E459" s="258"/>
      <c r="F459" s="258"/>
      <c r="G459" s="258"/>
      <c r="H459" s="258"/>
      <c r="I459" s="258"/>
      <c r="J459" s="258"/>
      <c r="K459" s="258"/>
      <c r="L459" s="258"/>
      <c r="M459" s="627"/>
      <c r="N459" s="258"/>
      <c r="O459" s="258"/>
      <c r="P459" s="627"/>
      <c r="R459" s="293"/>
      <c r="S459" s="293"/>
      <c r="T459" s="293"/>
    </row>
    <row r="460" spans="1:20" x14ac:dyDescent="0.2">
      <c r="A460" s="410"/>
      <c r="B460" s="262"/>
      <c r="C460" s="262"/>
      <c r="D460" s="433"/>
      <c r="E460" s="433"/>
      <c r="F460" s="433"/>
      <c r="G460" s="433"/>
      <c r="H460" s="433"/>
      <c r="I460" s="433"/>
      <c r="J460" s="225"/>
      <c r="K460" s="225"/>
      <c r="L460" s="225"/>
      <c r="M460" s="626"/>
      <c r="N460" s="225"/>
      <c r="O460" s="225"/>
      <c r="P460" s="626"/>
      <c r="R460" s="293"/>
      <c r="S460" s="293"/>
      <c r="T460" s="293"/>
    </row>
    <row r="461" spans="1:20" x14ac:dyDescent="0.2">
      <c r="A461" s="410"/>
      <c r="B461" s="262"/>
      <c r="C461" s="262"/>
      <c r="D461" s="433"/>
      <c r="E461" s="433"/>
      <c r="F461" s="433"/>
      <c r="G461" s="433"/>
      <c r="H461" s="433"/>
      <c r="I461" s="433"/>
      <c r="J461" s="225"/>
      <c r="K461" s="225"/>
      <c r="L461" s="225"/>
      <c r="M461" s="626"/>
      <c r="N461" s="225"/>
      <c r="O461" s="225"/>
      <c r="P461" s="626"/>
      <c r="R461" s="293"/>
      <c r="S461" s="293"/>
      <c r="T461" s="293"/>
    </row>
    <row r="462" spans="1:20" x14ac:dyDescent="0.2">
      <c r="B462" s="262"/>
      <c r="C462" s="262"/>
      <c r="D462" s="433"/>
      <c r="E462" s="433"/>
      <c r="F462" s="433"/>
      <c r="G462" s="433"/>
      <c r="H462" s="433"/>
      <c r="I462" s="433"/>
      <c r="M462" s="604"/>
      <c r="P462" s="604"/>
      <c r="R462" s="293"/>
      <c r="S462" s="293"/>
      <c r="T462" s="293"/>
    </row>
    <row r="463" spans="1:20" x14ac:dyDescent="0.2">
      <c r="R463" s="293"/>
      <c r="S463" s="293"/>
      <c r="T463" s="293"/>
    </row>
    <row r="464" spans="1:20" x14ac:dyDescent="0.2">
      <c r="R464" s="293"/>
      <c r="S464" s="293"/>
      <c r="T464" s="293"/>
    </row>
    <row r="465" spans="10:20" x14ac:dyDescent="0.2">
      <c r="M465" s="604"/>
      <c r="P465" s="604"/>
      <c r="R465" s="293"/>
      <c r="S465" s="293"/>
      <c r="T465" s="293"/>
    </row>
    <row r="466" spans="10:20" x14ac:dyDescent="0.2">
      <c r="M466" s="604"/>
      <c r="P466" s="604"/>
      <c r="R466" s="293"/>
      <c r="S466" s="293"/>
      <c r="T466" s="293"/>
    </row>
    <row r="467" spans="10:20" x14ac:dyDescent="0.2">
      <c r="M467" s="604"/>
      <c r="P467" s="604"/>
      <c r="R467" s="293"/>
      <c r="S467" s="293"/>
      <c r="T467" s="293"/>
    </row>
    <row r="468" spans="10:20" x14ac:dyDescent="0.2">
      <c r="M468" s="604"/>
      <c r="P468" s="604"/>
      <c r="R468" s="293"/>
      <c r="S468" s="293"/>
      <c r="T468" s="293"/>
    </row>
    <row r="469" spans="10:20" x14ac:dyDescent="0.2">
      <c r="J469" s="614"/>
      <c r="K469" s="614"/>
      <c r="L469" s="614"/>
      <c r="M469" s="629"/>
      <c r="N469" s="605"/>
      <c r="O469" s="605"/>
      <c r="P469" s="629"/>
      <c r="R469" s="293"/>
      <c r="S469" s="293"/>
      <c r="T469" s="293"/>
    </row>
    <row r="470" spans="10:20" x14ac:dyDescent="0.2">
      <c r="J470" s="614"/>
      <c r="K470" s="614"/>
      <c r="L470" s="614"/>
      <c r="M470" s="629"/>
      <c r="N470" s="605"/>
      <c r="O470" s="605"/>
      <c r="P470" s="629"/>
      <c r="R470" s="293"/>
      <c r="S470" s="293"/>
      <c r="T470" s="293"/>
    </row>
    <row r="471" spans="10:20" x14ac:dyDescent="0.2">
      <c r="J471" s="614"/>
      <c r="K471" s="614"/>
      <c r="L471" s="614"/>
      <c r="M471" s="629"/>
      <c r="N471" s="605"/>
      <c r="O471" s="605"/>
      <c r="P471" s="629"/>
      <c r="R471" s="293"/>
      <c r="S471" s="293"/>
      <c r="T471" s="293"/>
    </row>
    <row r="472" spans="10:20" x14ac:dyDescent="0.2">
      <c r="J472" s="614"/>
      <c r="K472" s="614"/>
      <c r="L472" s="614"/>
      <c r="M472" s="629"/>
      <c r="N472" s="605"/>
      <c r="O472" s="605"/>
      <c r="P472" s="629"/>
      <c r="R472" s="293"/>
      <c r="S472" s="293"/>
      <c r="T472" s="293"/>
    </row>
    <row r="473" spans="10:20" x14ac:dyDescent="0.2">
      <c r="J473" s="614"/>
      <c r="K473" s="614"/>
      <c r="L473" s="614"/>
      <c r="M473" s="629"/>
      <c r="N473" s="605"/>
      <c r="O473" s="605"/>
      <c r="P473" s="629"/>
      <c r="R473" s="293"/>
      <c r="S473" s="293"/>
      <c r="T473" s="293"/>
    </row>
    <row r="474" spans="10:20" x14ac:dyDescent="0.2">
      <c r="J474" s="614"/>
      <c r="K474" s="614"/>
      <c r="L474" s="614"/>
      <c r="M474" s="629"/>
      <c r="N474" s="605"/>
      <c r="O474" s="605"/>
      <c r="P474" s="629"/>
      <c r="R474" s="293"/>
      <c r="S474" s="293"/>
      <c r="T474" s="293"/>
    </row>
    <row r="475" spans="10:20" x14ac:dyDescent="0.2">
      <c r="J475" s="614"/>
      <c r="K475" s="614"/>
      <c r="L475" s="614"/>
      <c r="M475" s="629"/>
      <c r="N475" s="605"/>
      <c r="O475" s="605"/>
      <c r="P475" s="629"/>
      <c r="R475" s="293"/>
      <c r="S475" s="293"/>
      <c r="T475" s="293"/>
    </row>
    <row r="476" spans="10:20" x14ac:dyDescent="0.2">
      <c r="J476" s="614"/>
      <c r="K476" s="614"/>
      <c r="L476" s="614"/>
      <c r="M476" s="629"/>
      <c r="N476" s="605"/>
      <c r="O476" s="605"/>
      <c r="P476" s="629"/>
      <c r="R476" s="293"/>
      <c r="S476" s="293"/>
      <c r="T476" s="293"/>
    </row>
    <row r="477" spans="10:20" x14ac:dyDescent="0.2">
      <c r="J477" s="614"/>
      <c r="K477" s="614"/>
      <c r="L477" s="614"/>
      <c r="M477" s="629"/>
      <c r="N477" s="605"/>
      <c r="O477" s="605"/>
      <c r="P477" s="629"/>
      <c r="R477" s="293"/>
      <c r="S477" s="293"/>
      <c r="T477" s="293"/>
    </row>
    <row r="478" spans="10:20" x14ac:dyDescent="0.2">
      <c r="J478" s="614"/>
      <c r="K478" s="614"/>
      <c r="L478" s="614"/>
      <c r="M478" s="629"/>
      <c r="N478" s="605"/>
      <c r="O478" s="605"/>
      <c r="P478" s="629"/>
      <c r="R478" s="293"/>
      <c r="S478" s="293"/>
      <c r="T478" s="293"/>
    </row>
    <row r="479" spans="10:20" x14ac:dyDescent="0.2">
      <c r="J479" s="614"/>
      <c r="K479" s="614"/>
      <c r="L479" s="614"/>
      <c r="M479" s="629"/>
      <c r="N479" s="605"/>
      <c r="O479" s="605"/>
      <c r="P479" s="629"/>
      <c r="R479" s="293"/>
      <c r="S479" s="293"/>
      <c r="T479" s="293"/>
    </row>
    <row r="480" spans="10:20" x14ac:dyDescent="0.2">
      <c r="J480" s="614"/>
      <c r="K480" s="614"/>
      <c r="L480" s="614"/>
      <c r="M480" s="630"/>
      <c r="N480" s="619"/>
      <c r="O480" s="619"/>
      <c r="P480" s="630"/>
      <c r="R480" s="293"/>
      <c r="S480" s="293"/>
      <c r="T480" s="293"/>
    </row>
    <row r="481" spans="10:20" x14ac:dyDescent="0.2">
      <c r="J481" s="614"/>
      <c r="K481" s="614"/>
      <c r="L481" s="614"/>
      <c r="M481" s="604"/>
      <c r="N481" s="605"/>
      <c r="O481" s="605"/>
      <c r="P481" s="604"/>
      <c r="R481" s="293"/>
      <c r="S481" s="293"/>
      <c r="T481" s="293"/>
    </row>
    <row r="482" spans="10:20" x14ac:dyDescent="0.2">
      <c r="J482" s="614"/>
      <c r="K482" s="614"/>
      <c r="L482" s="614"/>
      <c r="M482" s="604"/>
      <c r="P482" s="604"/>
      <c r="R482" s="293"/>
      <c r="S482" s="293"/>
      <c r="T482" s="293"/>
    </row>
    <row r="483" spans="10:20" x14ac:dyDescent="0.2">
      <c r="J483" s="614"/>
      <c r="K483" s="614"/>
      <c r="L483" s="614"/>
      <c r="M483" s="604"/>
      <c r="P483" s="604"/>
      <c r="R483" s="293"/>
      <c r="S483" s="293"/>
      <c r="T483" s="293"/>
    </row>
    <row r="484" spans="10:20" x14ac:dyDescent="0.2">
      <c r="J484" s="614"/>
      <c r="K484" s="614"/>
      <c r="L484" s="614"/>
      <c r="M484" s="604"/>
      <c r="P484" s="604"/>
      <c r="R484" s="293"/>
      <c r="S484" s="293"/>
      <c r="T484" s="293"/>
    </row>
    <row r="485" spans="10:20" x14ac:dyDescent="0.2">
      <c r="J485" s="614"/>
      <c r="K485" s="614"/>
      <c r="L485" s="614"/>
      <c r="M485" s="629"/>
      <c r="N485" s="605"/>
      <c r="O485" s="605"/>
      <c r="P485" s="629"/>
      <c r="R485" s="293"/>
      <c r="S485" s="293"/>
      <c r="T485" s="293"/>
    </row>
    <row r="486" spans="10:20" x14ac:dyDescent="0.2">
      <c r="J486" s="614"/>
      <c r="K486" s="614"/>
      <c r="L486" s="614"/>
      <c r="M486" s="629"/>
      <c r="N486" s="605"/>
      <c r="O486" s="605"/>
      <c r="P486" s="629"/>
      <c r="R486" s="293"/>
      <c r="S486" s="293"/>
      <c r="T486" s="293"/>
    </row>
    <row r="487" spans="10:20" x14ac:dyDescent="0.2">
      <c r="J487" s="614"/>
      <c r="K487" s="614"/>
      <c r="L487" s="614"/>
      <c r="M487" s="629"/>
      <c r="N487" s="605"/>
      <c r="O487" s="605"/>
      <c r="P487" s="629"/>
      <c r="R487" s="293"/>
      <c r="S487" s="293"/>
      <c r="T487" s="293"/>
    </row>
    <row r="488" spans="10:20" x14ac:dyDescent="0.2">
      <c r="J488" s="614"/>
      <c r="K488" s="614"/>
      <c r="L488" s="614"/>
      <c r="M488" s="629"/>
      <c r="N488" s="605"/>
      <c r="O488" s="605"/>
      <c r="P488" s="629"/>
      <c r="R488" s="293"/>
      <c r="S488" s="293"/>
      <c r="T488" s="293"/>
    </row>
    <row r="489" spans="10:20" x14ac:dyDescent="0.2">
      <c r="J489" s="614"/>
      <c r="K489" s="614"/>
      <c r="L489" s="614"/>
      <c r="M489" s="629"/>
      <c r="N489" s="605"/>
      <c r="O489" s="605"/>
      <c r="P489" s="629"/>
      <c r="R489" s="293"/>
      <c r="S489" s="293"/>
      <c r="T489" s="293"/>
    </row>
    <row r="490" spans="10:20" x14ac:dyDescent="0.2">
      <c r="J490" s="614"/>
      <c r="K490" s="614"/>
      <c r="L490" s="614"/>
      <c r="M490" s="629"/>
      <c r="N490" s="605"/>
      <c r="O490" s="605"/>
      <c r="P490" s="629"/>
      <c r="R490" s="293"/>
      <c r="S490" s="293"/>
      <c r="T490" s="293"/>
    </row>
    <row r="491" spans="10:20" x14ac:dyDescent="0.2">
      <c r="J491" s="614"/>
      <c r="K491" s="614"/>
      <c r="L491" s="614"/>
      <c r="M491" s="629"/>
      <c r="N491" s="605"/>
      <c r="O491" s="605"/>
      <c r="P491" s="629"/>
      <c r="R491" s="293"/>
      <c r="S491" s="293"/>
      <c r="T491" s="293"/>
    </row>
    <row r="492" spans="10:20" x14ac:dyDescent="0.2">
      <c r="J492" s="614"/>
      <c r="K492" s="614"/>
      <c r="L492" s="614"/>
      <c r="M492" s="629"/>
      <c r="N492" s="605"/>
      <c r="O492" s="605"/>
      <c r="P492" s="629"/>
      <c r="R492" s="293"/>
      <c r="S492" s="293"/>
      <c r="T492" s="293"/>
    </row>
    <row r="493" spans="10:20" x14ac:dyDescent="0.2">
      <c r="J493" s="614"/>
      <c r="K493" s="614"/>
      <c r="L493" s="614"/>
      <c r="M493" s="629"/>
      <c r="N493" s="605"/>
      <c r="O493" s="605"/>
      <c r="P493" s="629"/>
      <c r="R493" s="293"/>
      <c r="S493" s="293"/>
      <c r="T493" s="293"/>
    </row>
    <row r="494" spans="10:20" x14ac:dyDescent="0.2">
      <c r="J494" s="614"/>
      <c r="K494" s="614"/>
      <c r="L494" s="614"/>
      <c r="M494" s="629"/>
      <c r="N494" s="605"/>
      <c r="O494" s="605"/>
      <c r="P494" s="629"/>
      <c r="R494" s="293"/>
      <c r="S494" s="293"/>
      <c r="T494" s="293"/>
    </row>
    <row r="495" spans="10:20" x14ac:dyDescent="0.2">
      <c r="J495" s="614"/>
      <c r="K495" s="614"/>
      <c r="L495" s="614"/>
      <c r="M495" s="629"/>
      <c r="N495" s="605"/>
      <c r="O495" s="605"/>
      <c r="P495" s="629"/>
      <c r="R495" s="293"/>
      <c r="S495" s="293"/>
      <c r="T495" s="293"/>
    </row>
    <row r="496" spans="10:20" x14ac:dyDescent="0.2">
      <c r="J496" s="614"/>
      <c r="K496" s="614"/>
      <c r="L496" s="614"/>
      <c r="M496" s="630"/>
      <c r="N496" s="619"/>
      <c r="O496" s="619"/>
      <c r="P496" s="630"/>
      <c r="R496" s="293"/>
      <c r="S496" s="293"/>
      <c r="T496" s="293"/>
    </row>
    <row r="497" spans="10:20" x14ac:dyDescent="0.2">
      <c r="J497" s="623"/>
      <c r="K497" s="623"/>
      <c r="L497" s="623"/>
      <c r="M497" s="604"/>
      <c r="N497" s="605"/>
      <c r="O497" s="605"/>
      <c r="P497" s="604"/>
      <c r="R497" s="293"/>
      <c r="S497" s="293"/>
      <c r="T497" s="293"/>
    </row>
    <row r="498" spans="10:20" x14ac:dyDescent="0.2">
      <c r="M498" s="604"/>
      <c r="P498" s="604"/>
      <c r="R498" s="293"/>
      <c r="S498" s="293"/>
      <c r="T498" s="293"/>
    </row>
    <row r="499" spans="10:20" x14ac:dyDescent="0.2">
      <c r="M499" s="604"/>
      <c r="P499" s="604"/>
      <c r="R499" s="293"/>
      <c r="S499" s="293"/>
      <c r="T499" s="293"/>
    </row>
    <row r="500" spans="10:20" x14ac:dyDescent="0.2">
      <c r="M500" s="604"/>
      <c r="P500" s="604"/>
      <c r="R500" s="293"/>
      <c r="S500" s="293"/>
      <c r="T500" s="293"/>
    </row>
    <row r="501" spans="10:20" x14ac:dyDescent="0.2">
      <c r="M501" s="604"/>
      <c r="P501" s="604"/>
      <c r="R501" s="293"/>
      <c r="S501" s="293"/>
      <c r="T501" s="293"/>
    </row>
    <row r="502" spans="10:20" x14ac:dyDescent="0.2">
      <c r="M502" s="604"/>
      <c r="P502" s="604"/>
      <c r="R502" s="293"/>
      <c r="S502" s="293"/>
      <c r="T502" s="293"/>
    </row>
    <row r="503" spans="10:20" x14ac:dyDescent="0.2">
      <c r="M503" s="604"/>
      <c r="P503" s="604"/>
      <c r="R503" s="293"/>
      <c r="S503" s="293"/>
      <c r="T503" s="293"/>
    </row>
    <row r="504" spans="10:20" x14ac:dyDescent="0.2">
      <c r="M504" s="604"/>
      <c r="P504" s="604"/>
      <c r="R504" s="293"/>
      <c r="S504" s="293"/>
      <c r="T504" s="293"/>
    </row>
    <row r="505" spans="10:20" x14ac:dyDescent="0.2">
      <c r="M505" s="604"/>
      <c r="P505" s="604"/>
      <c r="R505" s="293"/>
      <c r="S505" s="293"/>
      <c r="T505" s="293"/>
    </row>
    <row r="506" spans="10:20" x14ac:dyDescent="0.2">
      <c r="M506" s="604"/>
      <c r="P506" s="604"/>
      <c r="R506" s="293"/>
      <c r="S506" s="293"/>
      <c r="T506" s="293"/>
    </row>
    <row r="507" spans="10:20" x14ac:dyDescent="0.2">
      <c r="M507" s="604"/>
      <c r="P507" s="604"/>
      <c r="R507" s="293"/>
      <c r="S507" s="293"/>
      <c r="T507" s="293"/>
    </row>
    <row r="508" spans="10:20" x14ac:dyDescent="0.2">
      <c r="K508" s="433"/>
      <c r="M508" s="604"/>
      <c r="P508" s="604"/>
      <c r="R508" s="293"/>
      <c r="S508" s="293"/>
      <c r="T508" s="293"/>
    </row>
    <row r="509" spans="10:20" x14ac:dyDescent="0.2">
      <c r="K509" s="433"/>
      <c r="M509" s="604"/>
      <c r="P509" s="604"/>
      <c r="R509" s="293"/>
      <c r="S509" s="293"/>
      <c r="T509" s="293"/>
    </row>
    <row r="510" spans="10:20" x14ac:dyDescent="0.2">
      <c r="K510" s="433"/>
      <c r="M510" s="604"/>
      <c r="P510" s="597"/>
      <c r="R510" s="293"/>
      <c r="S510" s="293"/>
      <c r="T510" s="293"/>
    </row>
    <row r="511" spans="10:20" x14ac:dyDescent="0.2">
      <c r="M511" s="604"/>
      <c r="P511" s="604"/>
      <c r="R511" s="293"/>
      <c r="S511" s="293"/>
      <c r="T511" s="293"/>
    </row>
    <row r="512" spans="10:20" x14ac:dyDescent="0.2">
      <c r="J512" s="225"/>
      <c r="K512" s="225"/>
      <c r="L512" s="225"/>
      <c r="M512" s="625"/>
      <c r="N512" s="225"/>
      <c r="O512" s="225"/>
      <c r="P512" s="626"/>
      <c r="R512" s="293"/>
      <c r="S512" s="293"/>
      <c r="T512" s="293"/>
    </row>
    <row r="513" spans="1:21" x14ac:dyDescent="0.2">
      <c r="A513" s="410"/>
      <c r="B513" s="262"/>
      <c r="C513" s="262"/>
      <c r="D513" s="433"/>
      <c r="E513" s="433"/>
      <c r="F513" s="433"/>
      <c r="G513" s="433"/>
      <c r="H513" s="433"/>
      <c r="I513" s="433"/>
      <c r="J513" s="225"/>
      <c r="K513" s="225"/>
      <c r="L513" s="225"/>
      <c r="M513" s="626"/>
      <c r="N513" s="225"/>
      <c r="O513" s="225"/>
      <c r="P513" s="626"/>
      <c r="R513" s="293"/>
      <c r="S513" s="293"/>
      <c r="T513" s="293"/>
    </row>
    <row r="514" spans="1:21" x14ac:dyDescent="0.2">
      <c r="A514" s="281"/>
      <c r="B514" s="281"/>
      <c r="C514" s="281"/>
      <c r="D514" s="258"/>
      <c r="E514" s="258"/>
      <c r="F514" s="258"/>
      <c r="G514" s="258"/>
      <c r="H514" s="258"/>
      <c r="I514" s="258"/>
      <c r="J514" s="258"/>
      <c r="K514" s="258"/>
      <c r="L514" s="258"/>
      <c r="M514" s="627"/>
      <c r="N514" s="258"/>
      <c r="O514" s="258"/>
      <c r="P514" s="627"/>
      <c r="R514" s="293"/>
      <c r="S514" s="293"/>
      <c r="T514" s="293"/>
    </row>
    <row r="515" spans="1:21" x14ac:dyDescent="0.2">
      <c r="A515" s="410"/>
      <c r="B515" s="262"/>
      <c r="C515" s="262"/>
      <c r="D515" s="433"/>
      <c r="E515" s="433"/>
      <c r="F515" s="433"/>
      <c r="G515" s="433"/>
      <c r="H515" s="433"/>
      <c r="I515" s="433"/>
      <c r="J515" s="225"/>
      <c r="K515" s="225"/>
      <c r="L515" s="225"/>
      <c r="M515" s="626"/>
      <c r="N515" s="225"/>
      <c r="O515" s="225"/>
      <c r="P515" s="626"/>
      <c r="R515" s="293"/>
      <c r="S515" s="293"/>
      <c r="T515" s="293"/>
    </row>
    <row r="516" spans="1:21" x14ac:dyDescent="0.2">
      <c r="A516" s="410"/>
      <c r="B516" s="262"/>
      <c r="C516" s="262"/>
      <c r="D516" s="433"/>
      <c r="E516" s="433"/>
      <c r="F516" s="433"/>
      <c r="G516" s="433"/>
      <c r="H516" s="433"/>
      <c r="I516" s="433"/>
      <c r="J516" s="225"/>
      <c r="K516" s="225"/>
      <c r="L516" s="225"/>
      <c r="M516" s="626"/>
      <c r="N516" s="225"/>
      <c r="O516" s="225"/>
      <c r="P516" s="626"/>
      <c r="R516" s="293"/>
      <c r="S516" s="293"/>
      <c r="T516" s="293"/>
    </row>
    <row r="517" spans="1:21" x14ac:dyDescent="0.2">
      <c r="B517" s="262"/>
      <c r="C517" s="262"/>
      <c r="D517" s="433"/>
      <c r="E517" s="433"/>
      <c r="F517" s="433"/>
      <c r="G517" s="433"/>
      <c r="H517" s="433"/>
      <c r="I517" s="433"/>
      <c r="M517" s="604"/>
      <c r="P517" s="604"/>
      <c r="R517" s="293"/>
      <c r="S517" s="293"/>
      <c r="T517" s="293"/>
    </row>
    <row r="518" spans="1:21" x14ac:dyDescent="0.2">
      <c r="M518" s="604"/>
      <c r="P518" s="604"/>
      <c r="R518" s="293"/>
      <c r="S518" s="293"/>
      <c r="T518" s="293"/>
    </row>
    <row r="519" spans="1:21" x14ac:dyDescent="0.2">
      <c r="M519" s="604"/>
      <c r="P519" s="604"/>
      <c r="R519" s="293"/>
      <c r="S519" s="293"/>
      <c r="T519" s="293"/>
    </row>
    <row r="520" spans="1:21" x14ac:dyDescent="0.2">
      <c r="M520" s="604"/>
      <c r="P520" s="604"/>
      <c r="R520" s="293"/>
      <c r="S520" s="293"/>
      <c r="T520" s="293"/>
    </row>
    <row r="521" spans="1:21" x14ac:dyDescent="0.2">
      <c r="M521" s="604"/>
      <c r="P521" s="604"/>
      <c r="R521" s="293"/>
      <c r="S521" s="293"/>
      <c r="T521" s="293"/>
    </row>
    <row r="522" spans="1:21" x14ac:dyDescent="0.2">
      <c r="J522" s="634"/>
      <c r="K522" s="634"/>
      <c r="L522" s="635"/>
      <c r="M522" s="497"/>
      <c r="N522" s="605"/>
      <c r="O522" s="605"/>
      <c r="P522" s="597"/>
      <c r="R522" s="600"/>
      <c r="S522" s="600"/>
      <c r="T522" s="617"/>
      <c r="U522" s="617"/>
    </row>
    <row r="523" spans="1:21" x14ac:dyDescent="0.2">
      <c r="J523" s="634"/>
      <c r="K523" s="634"/>
      <c r="L523" s="635"/>
      <c r="M523" s="497"/>
      <c r="N523" s="605"/>
      <c r="O523" s="605"/>
      <c r="P523" s="597"/>
      <c r="R523" s="600"/>
      <c r="S523" s="600"/>
      <c r="T523" s="617"/>
      <c r="U523" s="617"/>
    </row>
    <row r="524" spans="1:21" x14ac:dyDescent="0.2">
      <c r="J524" s="634"/>
      <c r="K524" s="634"/>
      <c r="L524" s="635"/>
      <c r="M524" s="497"/>
      <c r="N524" s="605"/>
      <c r="O524" s="605"/>
      <c r="P524" s="597"/>
      <c r="R524" s="600"/>
      <c r="S524" s="600"/>
      <c r="T524" s="617"/>
      <c r="U524" s="617"/>
    </row>
    <row r="525" spans="1:21" x14ac:dyDescent="0.2">
      <c r="J525" s="634"/>
      <c r="K525" s="634"/>
      <c r="L525" s="635"/>
      <c r="M525" s="497"/>
      <c r="N525" s="605"/>
      <c r="O525" s="605"/>
      <c r="P525" s="597"/>
      <c r="R525" s="600"/>
      <c r="S525" s="600"/>
      <c r="T525" s="617"/>
      <c r="U525" s="617"/>
    </row>
    <row r="526" spans="1:21" x14ac:dyDescent="0.2">
      <c r="J526" s="634"/>
      <c r="K526" s="634"/>
      <c r="L526" s="635"/>
      <c r="M526" s="497"/>
      <c r="N526" s="605"/>
      <c r="O526" s="605"/>
      <c r="P526" s="597"/>
      <c r="R526" s="600"/>
      <c r="S526" s="600"/>
      <c r="T526" s="617"/>
      <c r="U526" s="617"/>
    </row>
    <row r="527" spans="1:21" x14ac:dyDescent="0.2">
      <c r="J527" s="634"/>
      <c r="K527" s="634"/>
      <c r="L527" s="635"/>
      <c r="M527" s="497"/>
      <c r="N527" s="605"/>
      <c r="O527" s="605"/>
      <c r="P527" s="597"/>
      <c r="R527" s="600"/>
      <c r="S527" s="600"/>
      <c r="T527" s="617"/>
      <c r="U527" s="617"/>
    </row>
    <row r="528" spans="1:21" x14ac:dyDescent="0.2">
      <c r="J528" s="634"/>
      <c r="K528" s="634"/>
      <c r="L528" s="635"/>
      <c r="M528" s="497"/>
      <c r="N528" s="605"/>
      <c r="O528" s="605"/>
      <c r="P528" s="597"/>
      <c r="R528" s="600"/>
      <c r="S528" s="600"/>
      <c r="T528" s="617"/>
      <c r="U528" s="617"/>
    </row>
    <row r="529" spans="10:21" x14ac:dyDescent="0.2">
      <c r="J529" s="634"/>
      <c r="K529" s="634"/>
      <c r="L529" s="635"/>
      <c r="M529" s="497"/>
      <c r="N529" s="605"/>
      <c r="O529" s="605"/>
      <c r="P529" s="597"/>
      <c r="R529" s="600"/>
      <c r="S529" s="600"/>
      <c r="T529" s="617"/>
      <c r="U529" s="617"/>
    </row>
    <row r="530" spans="10:21" x14ac:dyDescent="0.2">
      <c r="J530" s="634"/>
      <c r="K530" s="634"/>
      <c r="L530" s="635"/>
      <c r="M530" s="497"/>
      <c r="N530" s="605"/>
      <c r="O530" s="605"/>
      <c r="P530" s="597"/>
      <c r="R530" s="600"/>
      <c r="S530" s="600"/>
      <c r="T530" s="617"/>
      <c r="U530" s="617"/>
    </row>
    <row r="531" spans="10:21" x14ac:dyDescent="0.2">
      <c r="J531" s="634"/>
      <c r="K531" s="634"/>
      <c r="L531" s="635"/>
      <c r="M531" s="497"/>
      <c r="N531" s="605"/>
      <c r="O531" s="605"/>
      <c r="P531" s="597"/>
      <c r="R531" s="600"/>
      <c r="S531" s="600"/>
      <c r="T531" s="617"/>
      <c r="U531" s="617"/>
    </row>
    <row r="532" spans="10:21" x14ac:dyDescent="0.2">
      <c r="J532" s="634"/>
      <c r="K532" s="634"/>
      <c r="L532" s="635"/>
      <c r="M532" s="497"/>
      <c r="N532" s="605"/>
      <c r="O532" s="605"/>
      <c r="P532" s="597"/>
      <c r="R532" s="600"/>
      <c r="S532" s="600"/>
      <c r="T532" s="617"/>
      <c r="U532" s="617"/>
    </row>
    <row r="533" spans="10:21" x14ac:dyDescent="0.2">
      <c r="J533" s="634"/>
      <c r="K533" s="634"/>
      <c r="L533" s="635"/>
      <c r="M533" s="636"/>
      <c r="N533" s="619"/>
      <c r="O533" s="619"/>
      <c r="P533" s="618"/>
      <c r="R533" s="620"/>
      <c r="S533" s="620"/>
      <c r="T533" s="621"/>
      <c r="U533" s="621"/>
    </row>
    <row r="534" spans="10:21" x14ac:dyDescent="0.2">
      <c r="M534" s="497"/>
      <c r="N534" s="605"/>
      <c r="O534" s="605"/>
      <c r="P534" s="604"/>
      <c r="R534" s="293"/>
      <c r="S534" s="293"/>
      <c r="T534" s="624"/>
      <c r="U534" s="624"/>
    </row>
    <row r="535" spans="10:21" x14ac:dyDescent="0.2">
      <c r="R535" s="293"/>
      <c r="S535" s="293"/>
      <c r="T535" s="293"/>
    </row>
    <row r="536" spans="10:21" x14ac:dyDescent="0.2">
      <c r="J536" s="614"/>
      <c r="K536" s="614"/>
      <c r="L536" s="614"/>
      <c r="M536" s="604"/>
      <c r="P536" s="604"/>
      <c r="R536" s="293"/>
      <c r="S536" s="293"/>
      <c r="T536" s="293"/>
    </row>
    <row r="537" spans="10:21" x14ac:dyDescent="0.2">
      <c r="J537" s="614"/>
      <c r="K537" s="614"/>
      <c r="L537" s="614"/>
      <c r="M537" s="604"/>
      <c r="P537" s="604"/>
      <c r="R537" s="293"/>
      <c r="S537" s="293"/>
      <c r="T537" s="293"/>
    </row>
    <row r="538" spans="10:21" x14ac:dyDescent="0.2">
      <c r="J538" s="614"/>
      <c r="K538" s="614"/>
      <c r="L538" s="614"/>
      <c r="M538" s="497"/>
      <c r="N538" s="605"/>
      <c r="O538" s="605"/>
      <c r="P538" s="629"/>
      <c r="R538" s="600"/>
      <c r="S538" s="600"/>
      <c r="T538" s="600"/>
      <c r="U538" s="600"/>
    </row>
    <row r="539" spans="10:21" x14ac:dyDescent="0.2">
      <c r="J539" s="614"/>
      <c r="K539" s="614"/>
      <c r="L539" s="614"/>
      <c r="M539" s="497"/>
      <c r="N539" s="605"/>
      <c r="O539" s="605"/>
      <c r="P539" s="629"/>
      <c r="R539" s="600"/>
      <c r="S539" s="600"/>
      <c r="T539" s="600"/>
      <c r="U539" s="600"/>
    </row>
    <row r="540" spans="10:21" x14ac:dyDescent="0.2">
      <c r="J540" s="614"/>
      <c r="K540" s="614"/>
      <c r="L540" s="614"/>
      <c r="M540" s="497"/>
      <c r="N540" s="605"/>
      <c r="O540" s="605"/>
      <c r="P540" s="629"/>
      <c r="R540" s="600"/>
      <c r="S540" s="600"/>
      <c r="T540" s="600"/>
      <c r="U540" s="600"/>
    </row>
    <row r="541" spans="10:21" x14ac:dyDescent="0.2">
      <c r="J541" s="614"/>
      <c r="K541" s="614"/>
      <c r="L541" s="614"/>
      <c r="M541" s="497"/>
      <c r="N541" s="605"/>
      <c r="O541" s="605"/>
      <c r="P541" s="629"/>
      <c r="R541" s="600"/>
      <c r="S541" s="600"/>
      <c r="T541" s="600"/>
      <c r="U541" s="600"/>
    </row>
    <row r="542" spans="10:21" x14ac:dyDescent="0.2">
      <c r="J542" s="614"/>
      <c r="K542" s="614"/>
      <c r="L542" s="614"/>
      <c r="M542" s="497"/>
      <c r="N542" s="605"/>
      <c r="O542" s="605"/>
      <c r="P542" s="629"/>
      <c r="R542" s="600"/>
      <c r="S542" s="600"/>
      <c r="T542" s="600"/>
      <c r="U542" s="600"/>
    </row>
    <row r="543" spans="10:21" x14ac:dyDescent="0.2">
      <c r="J543" s="614"/>
      <c r="K543" s="614"/>
      <c r="L543" s="614"/>
      <c r="M543" s="497"/>
      <c r="N543" s="605"/>
      <c r="O543" s="605"/>
      <c r="P543" s="629"/>
      <c r="R543" s="600"/>
      <c r="S543" s="600"/>
      <c r="T543" s="600"/>
      <c r="U543" s="600"/>
    </row>
    <row r="544" spans="10:21" x14ac:dyDescent="0.2">
      <c r="J544" s="614"/>
      <c r="K544" s="614"/>
      <c r="L544" s="614"/>
      <c r="M544" s="497"/>
      <c r="N544" s="605"/>
      <c r="O544" s="605"/>
      <c r="P544" s="629"/>
      <c r="R544" s="600"/>
      <c r="S544" s="600"/>
      <c r="T544" s="600"/>
      <c r="U544" s="600"/>
    </row>
    <row r="545" spans="10:21" x14ac:dyDescent="0.2">
      <c r="J545" s="614"/>
      <c r="K545" s="614"/>
      <c r="L545" s="614"/>
      <c r="M545" s="497"/>
      <c r="N545" s="605"/>
      <c r="O545" s="605"/>
      <c r="P545" s="629"/>
      <c r="R545" s="600"/>
      <c r="S545" s="600"/>
      <c r="T545" s="600"/>
      <c r="U545" s="600"/>
    </row>
    <row r="546" spans="10:21" x14ac:dyDescent="0.2">
      <c r="J546" s="614"/>
      <c r="K546" s="614"/>
      <c r="L546" s="614"/>
      <c r="M546" s="497"/>
      <c r="N546" s="605"/>
      <c r="O546" s="605"/>
      <c r="P546" s="629"/>
      <c r="R546" s="600"/>
      <c r="S546" s="600"/>
      <c r="T546" s="600"/>
      <c r="U546" s="600"/>
    </row>
    <row r="547" spans="10:21" x14ac:dyDescent="0.2">
      <c r="J547" s="614"/>
      <c r="K547" s="614"/>
      <c r="L547" s="614"/>
      <c r="M547" s="497"/>
      <c r="N547" s="605"/>
      <c r="O547" s="605"/>
      <c r="P547" s="629"/>
      <c r="R547" s="600"/>
      <c r="S547" s="600"/>
      <c r="T547" s="600"/>
      <c r="U547" s="600"/>
    </row>
    <row r="548" spans="10:21" x14ac:dyDescent="0.2">
      <c r="J548" s="614"/>
      <c r="K548" s="614"/>
      <c r="L548" s="614"/>
      <c r="M548" s="497"/>
      <c r="N548" s="605"/>
      <c r="O548" s="605"/>
      <c r="P548" s="629"/>
      <c r="R548" s="600"/>
      <c r="S548" s="600"/>
      <c r="T548" s="600"/>
      <c r="U548" s="600"/>
    </row>
    <row r="549" spans="10:21" x14ac:dyDescent="0.2">
      <c r="J549" s="614"/>
      <c r="K549" s="614"/>
      <c r="L549" s="614"/>
      <c r="M549" s="636"/>
      <c r="N549" s="619"/>
      <c r="O549" s="619"/>
      <c r="P549" s="630"/>
      <c r="R549" s="620"/>
      <c r="S549" s="620"/>
      <c r="T549" s="620"/>
      <c r="U549" s="620"/>
    </row>
    <row r="550" spans="10:21" x14ac:dyDescent="0.2">
      <c r="J550" s="623"/>
      <c r="K550" s="623"/>
      <c r="L550" s="623"/>
      <c r="M550" s="497"/>
      <c r="N550" s="605"/>
      <c r="O550" s="605"/>
      <c r="P550" s="604"/>
      <c r="R550" s="293"/>
      <c r="S550" s="293"/>
      <c r="T550" s="293"/>
      <c r="U550" s="293"/>
    </row>
    <row r="551" spans="10:21" x14ac:dyDescent="0.2">
      <c r="R551" s="293"/>
      <c r="S551" s="293"/>
      <c r="T551" s="293"/>
    </row>
    <row r="552" spans="10:21" x14ac:dyDescent="0.2">
      <c r="R552" s="293"/>
      <c r="S552" s="293"/>
      <c r="T552" s="293"/>
    </row>
    <row r="553" spans="10:21" x14ac:dyDescent="0.2">
      <c r="R553" s="293"/>
      <c r="S553" s="293"/>
      <c r="T553" s="293"/>
    </row>
    <row r="554" spans="10:21" x14ac:dyDescent="0.2">
      <c r="R554" s="293"/>
      <c r="S554" s="293"/>
      <c r="T554" s="293"/>
    </row>
    <row r="555" spans="10:21" x14ac:dyDescent="0.2">
      <c r="R555" s="293"/>
      <c r="S555" s="293"/>
      <c r="T555" s="293"/>
    </row>
    <row r="556" spans="10:21" x14ac:dyDescent="0.2">
      <c r="R556" s="293"/>
      <c r="S556" s="293"/>
      <c r="T556" s="293"/>
    </row>
    <row r="557" spans="10:21" x14ac:dyDescent="0.2">
      <c r="R557" s="293"/>
      <c r="S557" s="293"/>
      <c r="T557" s="293"/>
    </row>
    <row r="558" spans="10:21" x14ac:dyDescent="0.2">
      <c r="R558" s="293"/>
      <c r="S558" s="293"/>
      <c r="T558" s="293"/>
    </row>
    <row r="559" spans="10:21" x14ac:dyDescent="0.2">
      <c r="R559" s="293"/>
      <c r="S559" s="293"/>
      <c r="T559" s="293"/>
    </row>
    <row r="560" spans="10:21" x14ac:dyDescent="0.2">
      <c r="R560" s="293"/>
      <c r="S560" s="293"/>
      <c r="T560" s="293"/>
    </row>
    <row r="561" spans="1:20" x14ac:dyDescent="0.2">
      <c r="R561" s="293"/>
      <c r="S561" s="293"/>
      <c r="T561" s="293"/>
    </row>
    <row r="562" spans="1:20" x14ac:dyDescent="0.2">
      <c r="R562" s="293"/>
      <c r="S562" s="293"/>
      <c r="T562" s="293"/>
    </row>
    <row r="563" spans="1:20" x14ac:dyDescent="0.2">
      <c r="J563" s="433"/>
      <c r="M563" s="604"/>
      <c r="P563" s="604"/>
      <c r="R563" s="293"/>
      <c r="S563" s="293"/>
      <c r="T563" s="293"/>
    </row>
    <row r="564" spans="1:20" x14ac:dyDescent="0.2">
      <c r="J564" s="433"/>
      <c r="M564" s="604"/>
      <c r="P564" s="604"/>
      <c r="R564" s="293"/>
      <c r="S564" s="293"/>
      <c r="T564" s="293"/>
    </row>
    <row r="565" spans="1:20" x14ac:dyDescent="0.2">
      <c r="J565" s="433"/>
      <c r="M565" s="604"/>
      <c r="P565" s="597"/>
      <c r="R565" s="293"/>
      <c r="S565" s="293"/>
      <c r="T565" s="293"/>
    </row>
    <row r="566" spans="1:20" ht="6.9" customHeight="1" x14ac:dyDescent="0.2">
      <c r="M566" s="604"/>
      <c r="P566" s="604"/>
      <c r="R566" s="293"/>
      <c r="S566" s="293"/>
      <c r="T566" s="293"/>
    </row>
    <row r="567" spans="1:20" x14ac:dyDescent="0.2">
      <c r="L567" s="225"/>
      <c r="M567" s="225"/>
      <c r="P567" s="604"/>
      <c r="R567" s="293"/>
      <c r="S567" s="293"/>
      <c r="T567" s="293"/>
    </row>
    <row r="568" spans="1:20" x14ac:dyDescent="0.2">
      <c r="J568" s="433"/>
      <c r="L568" s="225"/>
      <c r="M568" s="225"/>
      <c r="N568" s="225"/>
      <c r="O568" s="225"/>
      <c r="P568" s="604"/>
      <c r="R568" s="293"/>
      <c r="S568" s="293"/>
      <c r="T568" s="293"/>
    </row>
    <row r="569" spans="1:20" x14ac:dyDescent="0.2">
      <c r="A569" s="410"/>
      <c r="B569" s="262"/>
      <c r="C569" s="262"/>
      <c r="D569" s="433"/>
      <c r="E569" s="433"/>
      <c r="F569" s="433"/>
      <c r="G569" s="433"/>
      <c r="H569" s="433"/>
      <c r="I569" s="433"/>
      <c r="J569" s="433"/>
      <c r="L569" s="225"/>
      <c r="M569" s="225"/>
      <c r="N569" s="225"/>
      <c r="O569" s="225"/>
      <c r="P569" s="604"/>
      <c r="R569" s="293"/>
      <c r="S569" s="293"/>
      <c r="T569" s="293"/>
    </row>
    <row r="570" spans="1:20" x14ac:dyDescent="0.2">
      <c r="A570" s="281"/>
      <c r="B570" s="281"/>
      <c r="C570" s="281"/>
      <c r="D570" s="258"/>
      <c r="E570" s="258"/>
      <c r="F570" s="258"/>
      <c r="G570" s="258"/>
      <c r="H570" s="258"/>
      <c r="I570" s="258"/>
      <c r="J570" s="637"/>
      <c r="L570" s="258"/>
      <c r="M570" s="258"/>
      <c r="N570" s="258"/>
      <c r="O570" s="258"/>
      <c r="P570" s="604"/>
      <c r="R570" s="293"/>
      <c r="S570" s="293"/>
      <c r="T570" s="293"/>
    </row>
    <row r="571" spans="1:20" ht="9" customHeight="1" x14ac:dyDescent="0.2">
      <c r="A571" s="410"/>
      <c r="B571" s="262"/>
      <c r="C571" s="262"/>
      <c r="D571" s="433"/>
      <c r="E571" s="433"/>
      <c r="F571" s="433"/>
      <c r="G571" s="433"/>
      <c r="H571" s="433"/>
      <c r="I571" s="433"/>
      <c r="J571" s="433"/>
      <c r="L571" s="225"/>
      <c r="M571" s="225"/>
      <c r="N571" s="225"/>
      <c r="O571" s="225"/>
      <c r="P571" s="604"/>
      <c r="R571" s="293"/>
      <c r="S571" s="293"/>
      <c r="T571" s="293"/>
    </row>
    <row r="572" spans="1:20" x14ac:dyDescent="0.2">
      <c r="J572" s="433"/>
      <c r="L572" s="225"/>
      <c r="M572" s="225"/>
      <c r="N572" s="225"/>
      <c r="O572" s="225"/>
      <c r="P572" s="604"/>
      <c r="R572" s="293"/>
      <c r="S572" s="293"/>
      <c r="T572" s="293"/>
    </row>
    <row r="573" spans="1:20" ht="6.9" customHeight="1" x14ac:dyDescent="0.2">
      <c r="P573" s="604"/>
      <c r="R573" s="293"/>
      <c r="S573" s="293"/>
      <c r="T573" s="293"/>
    </row>
    <row r="574" spans="1:20" x14ac:dyDescent="0.2">
      <c r="L574" s="605"/>
      <c r="M574" s="605"/>
      <c r="N574" s="605"/>
      <c r="O574" s="605"/>
      <c r="P574" s="604"/>
      <c r="R574" s="293"/>
      <c r="S574" s="293"/>
      <c r="T574" s="293"/>
    </row>
    <row r="575" spans="1:20" x14ac:dyDescent="0.2">
      <c r="L575" s="619"/>
      <c r="M575" s="619"/>
      <c r="N575" s="619"/>
      <c r="O575" s="619"/>
      <c r="P575" s="604"/>
      <c r="R575" s="293"/>
      <c r="S575" s="293"/>
      <c r="T575" s="293"/>
    </row>
    <row r="576" spans="1:20" x14ac:dyDescent="0.2">
      <c r="L576" s="605"/>
      <c r="M576" s="605"/>
      <c r="N576" s="605"/>
      <c r="O576" s="605"/>
      <c r="P576" s="604"/>
      <c r="R576" s="293"/>
      <c r="S576" s="293"/>
      <c r="T576" s="293"/>
    </row>
    <row r="577" spans="2:20" ht="4.5" customHeight="1" x14ac:dyDescent="0.2">
      <c r="L577" s="605"/>
      <c r="M577" s="605"/>
      <c r="N577" s="605"/>
      <c r="O577" s="605"/>
      <c r="P577" s="604"/>
      <c r="R577" s="293"/>
      <c r="S577" s="293"/>
      <c r="T577" s="293"/>
    </row>
    <row r="578" spans="2:20" x14ac:dyDescent="0.2">
      <c r="B578" s="262"/>
      <c r="C578" s="262"/>
      <c r="D578" s="433"/>
      <c r="E578" s="433"/>
      <c r="F578" s="433"/>
      <c r="G578" s="433"/>
      <c r="H578" s="433"/>
      <c r="I578" s="433"/>
      <c r="L578" s="605"/>
      <c r="M578" s="605"/>
      <c r="N578" s="605"/>
      <c r="O578" s="605"/>
      <c r="P578" s="604"/>
      <c r="R578" s="293"/>
      <c r="S578" s="293"/>
      <c r="T578" s="293"/>
    </row>
    <row r="579" spans="2:20" ht="4.5" customHeight="1" x14ac:dyDescent="0.2">
      <c r="L579" s="605"/>
      <c r="M579" s="605"/>
      <c r="N579" s="605"/>
      <c r="O579" s="605"/>
      <c r="P579" s="604"/>
      <c r="R579" s="293"/>
      <c r="S579" s="293"/>
      <c r="T579" s="293"/>
    </row>
    <row r="580" spans="2:20" x14ac:dyDescent="0.2">
      <c r="B580" s="262"/>
      <c r="C580" s="262"/>
      <c r="D580" s="433"/>
      <c r="E580" s="433"/>
      <c r="F580" s="433"/>
      <c r="G580" s="433"/>
      <c r="H580" s="433"/>
      <c r="I580" s="433"/>
      <c r="L580" s="605"/>
      <c r="M580" s="605"/>
      <c r="N580" s="605"/>
      <c r="O580" s="605"/>
      <c r="P580" s="604"/>
      <c r="R580" s="293"/>
      <c r="S580" s="293"/>
      <c r="T580" s="293"/>
    </row>
    <row r="581" spans="2:20" x14ac:dyDescent="0.2">
      <c r="B581" s="262"/>
      <c r="C581" s="262"/>
      <c r="D581" s="433"/>
      <c r="E581" s="433"/>
      <c r="F581" s="433"/>
      <c r="G581" s="433"/>
      <c r="H581" s="433"/>
      <c r="I581" s="433"/>
      <c r="L581" s="605"/>
      <c r="M581" s="605"/>
      <c r="N581" s="605"/>
      <c r="O581" s="605"/>
      <c r="P581" s="604"/>
      <c r="R581" s="293"/>
      <c r="S581" s="293"/>
      <c r="T581" s="293"/>
    </row>
    <row r="582" spans="2:20" x14ac:dyDescent="0.2">
      <c r="B582" s="262"/>
      <c r="C582" s="262"/>
      <c r="D582" s="433"/>
      <c r="E582" s="433"/>
      <c r="F582" s="433"/>
      <c r="G582" s="433"/>
      <c r="H582" s="433"/>
      <c r="I582" s="433"/>
      <c r="L582" s="605"/>
      <c r="M582" s="605"/>
      <c r="N582" s="605"/>
      <c r="O582" s="605"/>
      <c r="P582" s="604"/>
      <c r="R582" s="293"/>
      <c r="S582" s="293"/>
      <c r="T582" s="293"/>
    </row>
    <row r="583" spans="2:20" x14ac:dyDescent="0.2">
      <c r="B583" s="262"/>
      <c r="C583" s="262"/>
      <c r="D583" s="433"/>
      <c r="E583" s="433"/>
      <c r="F583" s="433"/>
      <c r="G583" s="433"/>
      <c r="H583" s="433"/>
      <c r="I583" s="433"/>
      <c r="L583" s="605"/>
      <c r="M583" s="605"/>
      <c r="N583" s="605"/>
      <c r="O583" s="605"/>
      <c r="P583" s="605"/>
      <c r="R583" s="293"/>
      <c r="S583" s="293"/>
      <c r="T583" s="293"/>
    </row>
    <row r="584" spans="2:20" x14ac:dyDescent="0.2">
      <c r="B584" s="262"/>
      <c r="C584" s="262"/>
      <c r="D584" s="433"/>
      <c r="E584" s="433"/>
      <c r="F584" s="433"/>
      <c r="G584" s="433"/>
      <c r="H584" s="433"/>
      <c r="I584" s="433"/>
      <c r="L584" s="605"/>
      <c r="M584" s="605"/>
      <c r="N584" s="605"/>
      <c r="O584" s="605"/>
      <c r="P584" s="605"/>
      <c r="R584" s="293"/>
      <c r="S584" s="293"/>
      <c r="T584" s="293"/>
    </row>
    <row r="585" spans="2:20" x14ac:dyDescent="0.2">
      <c r="B585" s="262"/>
      <c r="C585" s="262"/>
      <c r="D585" s="433"/>
      <c r="E585" s="433"/>
      <c r="F585" s="433"/>
      <c r="G585" s="433"/>
      <c r="H585" s="433"/>
      <c r="I585" s="433"/>
      <c r="L585" s="605"/>
      <c r="M585" s="605"/>
      <c r="N585" s="605"/>
      <c r="O585" s="605"/>
      <c r="P585" s="605"/>
      <c r="R585" s="293"/>
      <c r="S585" s="293"/>
      <c r="T585" s="293"/>
    </row>
    <row r="586" spans="2:20" x14ac:dyDescent="0.2">
      <c r="B586" s="262"/>
      <c r="C586" s="262"/>
      <c r="D586" s="433"/>
      <c r="E586" s="433"/>
      <c r="F586" s="433"/>
      <c r="G586" s="433"/>
      <c r="H586" s="433"/>
      <c r="I586" s="433"/>
      <c r="L586" s="605"/>
      <c r="M586" s="605"/>
      <c r="N586" s="605"/>
      <c r="O586" s="605"/>
      <c r="P586" s="605"/>
      <c r="R586" s="293"/>
      <c r="S586" s="293"/>
      <c r="T586" s="293"/>
    </row>
    <row r="587" spans="2:20" x14ac:dyDescent="0.2">
      <c r="B587" s="262"/>
      <c r="C587" s="262"/>
      <c r="D587" s="433"/>
      <c r="E587" s="433"/>
      <c r="F587" s="433"/>
      <c r="G587" s="433"/>
      <c r="H587" s="433"/>
      <c r="I587" s="433"/>
      <c r="L587" s="605"/>
      <c r="M587" s="605"/>
      <c r="N587" s="605"/>
      <c r="O587" s="605"/>
      <c r="P587" s="605"/>
      <c r="R587" s="293"/>
      <c r="S587" s="293"/>
      <c r="T587" s="293"/>
    </row>
    <row r="588" spans="2:20" x14ac:dyDescent="0.2">
      <c r="B588" s="262"/>
      <c r="C588" s="262"/>
      <c r="D588" s="433"/>
      <c r="E588" s="433"/>
      <c r="F588" s="433"/>
      <c r="G588" s="433"/>
      <c r="H588" s="433"/>
      <c r="I588" s="433"/>
      <c r="L588" s="605"/>
      <c r="M588" s="605"/>
      <c r="N588" s="605"/>
      <c r="O588" s="605"/>
      <c r="P588" s="605"/>
      <c r="R588" s="293"/>
      <c r="S588" s="293"/>
      <c r="T588" s="293"/>
    </row>
    <row r="589" spans="2:20" x14ac:dyDescent="0.2">
      <c r="B589" s="262"/>
      <c r="C589" s="262"/>
      <c r="D589" s="433"/>
      <c r="E589" s="433"/>
      <c r="F589" s="433"/>
      <c r="G589" s="433"/>
      <c r="H589" s="433"/>
      <c r="I589" s="433"/>
      <c r="R589" s="293"/>
      <c r="S589" s="293"/>
      <c r="T589" s="293"/>
    </row>
    <row r="590" spans="2:20" x14ac:dyDescent="0.2">
      <c r="B590" s="262"/>
      <c r="C590" s="262"/>
      <c r="D590" s="433"/>
      <c r="E590" s="433"/>
      <c r="F590" s="433"/>
      <c r="G590" s="433"/>
      <c r="H590" s="433"/>
      <c r="I590" s="433"/>
      <c r="L590" s="605"/>
      <c r="M590" s="304"/>
      <c r="N590" s="605"/>
      <c r="O590" s="605"/>
      <c r="R590" s="293"/>
      <c r="S590" s="293"/>
      <c r="T590" s="293"/>
    </row>
    <row r="591" spans="2:20" x14ac:dyDescent="0.2">
      <c r="B591" s="262"/>
      <c r="C591" s="262"/>
      <c r="D591" s="433"/>
      <c r="E591" s="433"/>
      <c r="F591" s="433"/>
      <c r="G591" s="433"/>
      <c r="H591" s="433"/>
      <c r="I591" s="433"/>
      <c r="L591" s="605"/>
      <c r="N591" s="605"/>
      <c r="O591" s="605"/>
      <c r="R591" s="293"/>
      <c r="S591" s="293"/>
      <c r="T591" s="293"/>
    </row>
    <row r="592" spans="2:20" x14ac:dyDescent="0.2">
      <c r="B592" s="262"/>
      <c r="C592" s="262"/>
      <c r="D592" s="433"/>
      <c r="E592" s="433"/>
      <c r="F592" s="433"/>
      <c r="G592" s="433"/>
      <c r="H592" s="433"/>
      <c r="I592" s="433"/>
      <c r="L592" s="605"/>
      <c r="N592" s="605"/>
      <c r="O592" s="605"/>
      <c r="R592" s="293"/>
      <c r="S592" s="293"/>
      <c r="T592" s="293"/>
    </row>
    <row r="593" spans="2:20" x14ac:dyDescent="0.2">
      <c r="B593" s="262"/>
      <c r="C593" s="262"/>
      <c r="D593" s="433"/>
      <c r="E593" s="433"/>
      <c r="F593" s="433"/>
      <c r="G593" s="433"/>
      <c r="H593" s="433"/>
      <c r="I593" s="433"/>
      <c r="L593" s="619"/>
      <c r="M593" s="303"/>
      <c r="N593" s="619"/>
      <c r="O593" s="619"/>
      <c r="R593" s="293"/>
      <c r="S593" s="293"/>
      <c r="T593" s="293"/>
    </row>
    <row r="594" spans="2:20" ht="9.6" customHeight="1" x14ac:dyDescent="0.2">
      <c r="R594" s="293"/>
      <c r="S594" s="293"/>
      <c r="T594" s="293"/>
    </row>
    <row r="595" spans="2:20" x14ac:dyDescent="0.2">
      <c r="L595" s="605"/>
      <c r="M595" s="605"/>
      <c r="N595" s="605"/>
      <c r="O595" s="605"/>
      <c r="P595" s="605"/>
      <c r="R595" s="293"/>
      <c r="S595" s="293"/>
      <c r="T595" s="293"/>
    </row>
    <row r="596" spans="2:20" ht="5.25" customHeight="1" x14ac:dyDescent="0.2">
      <c r="L596" s="605"/>
      <c r="M596" s="605"/>
      <c r="N596" s="605"/>
      <c r="O596" s="605"/>
      <c r="P596" s="605"/>
      <c r="R596" s="293"/>
      <c r="S596" s="293"/>
      <c r="T596" s="293"/>
    </row>
    <row r="597" spans="2:20" x14ac:dyDescent="0.2">
      <c r="B597" s="262"/>
      <c r="C597" s="262"/>
      <c r="D597" s="433"/>
      <c r="E597" s="433"/>
      <c r="F597" s="433"/>
      <c r="G597" s="433"/>
      <c r="H597" s="433"/>
      <c r="I597" s="433"/>
      <c r="L597" s="605"/>
      <c r="M597" s="605"/>
      <c r="N597" s="605"/>
      <c r="O597" s="605"/>
      <c r="P597" s="605"/>
      <c r="R597" s="293"/>
      <c r="S597" s="293"/>
      <c r="T597" s="293"/>
    </row>
    <row r="598" spans="2:20" ht="3.75" customHeight="1" x14ac:dyDescent="0.2">
      <c r="B598" s="262"/>
      <c r="C598" s="262"/>
      <c r="D598" s="433"/>
      <c r="E598" s="433"/>
      <c r="F598" s="433"/>
      <c r="G598" s="433"/>
      <c r="H598" s="433"/>
      <c r="I598" s="433"/>
      <c r="L598" s="605"/>
      <c r="M598" s="605"/>
      <c r="N598" s="605"/>
      <c r="O598" s="605"/>
      <c r="P598" s="605"/>
      <c r="R598" s="293"/>
      <c r="S598" s="293"/>
      <c r="T598" s="293"/>
    </row>
    <row r="599" spans="2:20" x14ac:dyDescent="0.2">
      <c r="B599" s="262"/>
      <c r="C599" s="262"/>
      <c r="D599" s="433"/>
      <c r="E599" s="433"/>
      <c r="F599" s="433"/>
      <c r="G599" s="433"/>
      <c r="H599" s="433"/>
      <c r="I599" s="433"/>
      <c r="L599" s="605"/>
      <c r="M599" s="638"/>
      <c r="N599" s="638"/>
      <c r="O599" s="638"/>
      <c r="P599" s="605"/>
      <c r="R599" s="293"/>
      <c r="S599" s="293"/>
      <c r="T599" s="293"/>
    </row>
    <row r="600" spans="2:20" x14ac:dyDescent="0.2">
      <c r="B600" s="262"/>
      <c r="C600" s="262"/>
      <c r="D600" s="433"/>
      <c r="E600" s="433"/>
      <c r="F600" s="433"/>
      <c r="G600" s="433"/>
      <c r="H600" s="433"/>
      <c r="I600" s="433"/>
      <c r="L600" s="605"/>
      <c r="M600" s="638"/>
      <c r="N600" s="638"/>
      <c r="O600" s="638"/>
      <c r="P600" s="605"/>
      <c r="R600" s="293"/>
      <c r="S600" s="293"/>
      <c r="T600" s="293"/>
    </row>
    <row r="601" spans="2:20" x14ac:dyDescent="0.2">
      <c r="B601" s="262"/>
      <c r="C601" s="262"/>
      <c r="D601" s="433"/>
      <c r="E601" s="433"/>
      <c r="F601" s="433"/>
      <c r="G601" s="433"/>
      <c r="H601" s="433"/>
      <c r="I601" s="433"/>
      <c r="L601" s="605"/>
      <c r="M601" s="638"/>
      <c r="N601" s="638"/>
      <c r="O601" s="638"/>
      <c r="P601" s="605"/>
      <c r="R601" s="293"/>
      <c r="S601" s="293"/>
      <c r="T601" s="293"/>
    </row>
    <row r="602" spans="2:20" x14ac:dyDescent="0.2">
      <c r="B602" s="262"/>
      <c r="C602" s="262"/>
      <c r="D602" s="433"/>
      <c r="E602" s="433"/>
      <c r="F602" s="433"/>
      <c r="G602" s="433"/>
      <c r="H602" s="433"/>
      <c r="I602" s="433"/>
      <c r="L602" s="605"/>
      <c r="M602" s="638"/>
      <c r="N602" s="638"/>
      <c r="O602" s="638"/>
      <c r="P602" s="605"/>
      <c r="R602" s="293"/>
      <c r="S602" s="293"/>
      <c r="T602" s="293"/>
    </row>
    <row r="603" spans="2:20" x14ac:dyDescent="0.2">
      <c r="B603" s="262"/>
      <c r="C603" s="262"/>
      <c r="D603" s="433"/>
      <c r="E603" s="433"/>
      <c r="F603" s="433"/>
      <c r="G603" s="433"/>
      <c r="H603" s="433"/>
      <c r="I603" s="433"/>
      <c r="L603" s="605"/>
      <c r="M603" s="638"/>
      <c r="N603" s="638"/>
      <c r="O603" s="638"/>
      <c r="P603" s="605"/>
      <c r="R603" s="293"/>
      <c r="S603" s="293"/>
      <c r="T603" s="293"/>
    </row>
    <row r="604" spans="2:20" x14ac:dyDescent="0.2">
      <c r="B604" s="262"/>
      <c r="C604" s="262"/>
      <c r="D604" s="433"/>
      <c r="E604" s="433"/>
      <c r="F604" s="433"/>
      <c r="G604" s="433"/>
      <c r="H604" s="433"/>
      <c r="I604" s="433"/>
      <c r="L604" s="605"/>
      <c r="M604" s="638"/>
      <c r="N604" s="638"/>
      <c r="O604" s="638"/>
      <c r="P604" s="605"/>
      <c r="R604" s="293"/>
      <c r="S604" s="293"/>
      <c r="T604" s="293"/>
    </row>
    <row r="605" spans="2:20" x14ac:dyDescent="0.2">
      <c r="B605" s="262"/>
      <c r="C605" s="262"/>
      <c r="D605" s="433"/>
      <c r="E605" s="433"/>
      <c r="F605" s="433"/>
      <c r="G605" s="433"/>
      <c r="H605" s="433"/>
      <c r="I605" s="433"/>
      <c r="L605" s="605"/>
      <c r="M605" s="638"/>
      <c r="N605" s="638"/>
      <c r="O605" s="638"/>
      <c r="P605" s="605"/>
      <c r="R605" s="293"/>
      <c r="S605" s="293"/>
      <c r="T605" s="293"/>
    </row>
    <row r="606" spans="2:20" x14ac:dyDescent="0.2">
      <c r="B606" s="262"/>
      <c r="C606" s="262"/>
      <c r="D606" s="433"/>
      <c r="E606" s="433"/>
      <c r="F606" s="433"/>
      <c r="G606" s="433"/>
      <c r="H606" s="433"/>
      <c r="I606" s="433"/>
      <c r="L606" s="605"/>
      <c r="M606" s="638"/>
      <c r="N606" s="638"/>
      <c r="O606" s="638"/>
      <c r="P606" s="605"/>
      <c r="R606" s="293"/>
      <c r="S606" s="293"/>
      <c r="T606" s="293"/>
    </row>
    <row r="607" spans="2:20" x14ac:dyDescent="0.2">
      <c r="B607" s="262"/>
      <c r="C607" s="262"/>
      <c r="D607" s="433"/>
      <c r="E607" s="433"/>
      <c r="F607" s="433"/>
      <c r="G607" s="433"/>
      <c r="H607" s="433"/>
      <c r="I607" s="433"/>
      <c r="L607" s="605"/>
      <c r="M607" s="638"/>
      <c r="N607" s="638"/>
      <c r="O607" s="638"/>
      <c r="P607" s="605"/>
      <c r="R607" s="293"/>
      <c r="S607" s="293"/>
      <c r="T607" s="293"/>
    </row>
    <row r="608" spans="2:20" x14ac:dyDescent="0.2">
      <c r="B608" s="262"/>
      <c r="C608" s="262"/>
      <c r="D608" s="433"/>
      <c r="E608" s="433"/>
      <c r="F608" s="433"/>
      <c r="G608" s="433"/>
      <c r="H608" s="433"/>
      <c r="I608" s="433"/>
      <c r="L608" s="639"/>
      <c r="M608" s="640"/>
      <c r="N608" s="640"/>
      <c r="O608" s="640"/>
      <c r="R608" s="293"/>
      <c r="S608" s="293"/>
      <c r="T608" s="293"/>
    </row>
    <row r="609" spans="1:20" x14ac:dyDescent="0.2">
      <c r="B609" s="262"/>
      <c r="C609" s="262"/>
      <c r="D609" s="433"/>
      <c r="E609" s="433"/>
      <c r="F609" s="433"/>
      <c r="G609" s="433"/>
      <c r="H609" s="433"/>
      <c r="I609" s="433"/>
      <c r="L609" s="605"/>
      <c r="M609" s="640"/>
      <c r="N609" s="638"/>
      <c r="O609" s="638"/>
      <c r="R609" s="293"/>
      <c r="S609" s="293"/>
      <c r="T609" s="293"/>
    </row>
    <row r="610" spans="1:20" x14ac:dyDescent="0.2">
      <c r="B610" s="262"/>
      <c r="C610" s="262"/>
      <c r="D610" s="433"/>
      <c r="E610" s="433"/>
      <c r="F610" s="433"/>
      <c r="G610" s="433"/>
      <c r="H610" s="433"/>
      <c r="I610" s="433"/>
      <c r="L610" s="605"/>
      <c r="M610" s="640"/>
      <c r="N610" s="638"/>
      <c r="O610" s="638"/>
      <c r="R610" s="293"/>
      <c r="S610" s="293"/>
      <c r="T610" s="293"/>
    </row>
    <row r="611" spans="1:20" x14ac:dyDescent="0.2">
      <c r="B611" s="262"/>
      <c r="C611" s="262"/>
      <c r="D611" s="433"/>
      <c r="E611" s="433"/>
      <c r="F611" s="433"/>
      <c r="G611" s="433"/>
      <c r="H611" s="433"/>
      <c r="I611" s="433"/>
      <c r="J611" s="433"/>
      <c r="L611" s="605"/>
      <c r="M611" s="640"/>
      <c r="N611" s="638"/>
      <c r="O611" s="638"/>
      <c r="R611" s="293"/>
      <c r="S611" s="293"/>
      <c r="T611" s="293"/>
    </row>
    <row r="612" spans="1:20" x14ac:dyDescent="0.2">
      <c r="B612" s="262"/>
      <c r="C612" s="262"/>
      <c r="D612" s="433"/>
      <c r="E612" s="433"/>
      <c r="F612" s="433"/>
      <c r="G612" s="433"/>
      <c r="H612" s="433"/>
      <c r="I612" s="433"/>
      <c r="L612" s="605"/>
      <c r="M612" s="640"/>
      <c r="N612" s="638"/>
      <c r="O612" s="638"/>
      <c r="R612" s="293"/>
      <c r="S612" s="293"/>
      <c r="T612" s="293"/>
    </row>
    <row r="613" spans="1:20" x14ac:dyDescent="0.2">
      <c r="B613" s="262"/>
      <c r="C613" s="262"/>
      <c r="D613" s="433"/>
      <c r="E613" s="433"/>
      <c r="F613" s="433"/>
      <c r="G613" s="433"/>
      <c r="H613" s="433"/>
      <c r="I613" s="433"/>
      <c r="L613" s="619"/>
      <c r="M613" s="641"/>
      <c r="N613" s="641"/>
      <c r="O613" s="641"/>
      <c r="R613" s="293"/>
      <c r="S613" s="293"/>
      <c r="T613" s="293"/>
    </row>
    <row r="614" spans="1:20" x14ac:dyDescent="0.2">
      <c r="L614" s="619"/>
      <c r="M614" s="641"/>
      <c r="N614" s="641"/>
      <c r="O614" s="641"/>
      <c r="P614" s="605"/>
      <c r="R614" s="293"/>
      <c r="S614" s="293"/>
      <c r="T614" s="293"/>
    </row>
    <row r="615" spans="1:20" x14ac:dyDescent="0.2">
      <c r="L615" s="605"/>
      <c r="M615" s="638"/>
      <c r="N615" s="638"/>
      <c r="O615" s="638"/>
      <c r="P615" s="605"/>
      <c r="R615" s="293"/>
      <c r="S615" s="293"/>
      <c r="T615" s="293"/>
    </row>
    <row r="616" spans="1:20" x14ac:dyDescent="0.2">
      <c r="L616" s="619"/>
      <c r="M616" s="641"/>
      <c r="N616" s="641"/>
      <c r="O616" s="641"/>
      <c r="P616" s="605"/>
      <c r="R616" s="293"/>
      <c r="S616" s="293"/>
      <c r="T616" s="293"/>
    </row>
    <row r="617" spans="1:20" x14ac:dyDescent="0.2">
      <c r="L617" s="642"/>
      <c r="M617" s="638"/>
      <c r="N617" s="638"/>
      <c r="O617" s="638"/>
      <c r="R617" s="293"/>
      <c r="S617" s="293"/>
      <c r="T617" s="293"/>
    </row>
    <row r="618" spans="1:20" x14ac:dyDescent="0.2">
      <c r="B618" s="456"/>
      <c r="C618" s="456"/>
      <c r="D618" s="609"/>
      <c r="E618" s="609"/>
      <c r="F618" s="609"/>
      <c r="G618" s="609"/>
      <c r="H618" s="609"/>
      <c r="I618" s="609"/>
      <c r="L618" s="619"/>
      <c r="R618" s="293"/>
      <c r="S618" s="293"/>
      <c r="T618" s="293"/>
    </row>
    <row r="619" spans="1:20" x14ac:dyDescent="0.2">
      <c r="L619" s="643"/>
      <c r="R619" s="293"/>
      <c r="S619" s="293"/>
      <c r="T619" s="293"/>
    </row>
    <row r="620" spans="1:20" x14ac:dyDescent="0.2">
      <c r="R620" s="293"/>
      <c r="S620" s="293"/>
      <c r="T620" s="293"/>
    </row>
    <row r="621" spans="1:20" x14ac:dyDescent="0.2">
      <c r="R621" s="293"/>
      <c r="S621" s="293"/>
      <c r="T621" s="293"/>
    </row>
    <row r="622" spans="1:20" x14ac:dyDescent="0.2">
      <c r="A622" s="594"/>
      <c r="R622" s="293"/>
      <c r="S622" s="293"/>
      <c r="T622" s="293"/>
    </row>
    <row r="623" spans="1:20" x14ac:dyDescent="0.2">
      <c r="K623" s="644"/>
      <c r="L623" s="644"/>
      <c r="M623" s="644"/>
      <c r="R623" s="293"/>
      <c r="S623" s="293"/>
      <c r="T623" s="293"/>
    </row>
    <row r="624" spans="1:20" x14ac:dyDescent="0.2">
      <c r="K624" s="496"/>
      <c r="L624" s="645"/>
      <c r="M624" s="496"/>
      <c r="N624" s="604"/>
      <c r="O624" s="604"/>
      <c r="R624" s="293"/>
      <c r="S624" s="293"/>
      <c r="T624" s="293"/>
    </row>
    <row r="625" spans="11:20" x14ac:dyDescent="0.2">
      <c r="K625" s="496"/>
      <c r="L625" s="645"/>
      <c r="M625" s="496"/>
      <c r="R625" s="293"/>
      <c r="S625" s="293"/>
      <c r="T625" s="293"/>
    </row>
    <row r="626" spans="11:20" x14ac:dyDescent="0.2">
      <c r="K626" s="496"/>
      <c r="L626" s="645"/>
      <c r="M626" s="496"/>
      <c r="R626" s="293"/>
      <c r="S626" s="293"/>
      <c r="T626" s="293"/>
    </row>
    <row r="628" spans="11:20" x14ac:dyDescent="0.2">
      <c r="K628" s="497"/>
    </row>
    <row r="629" spans="11:20" x14ac:dyDescent="0.2">
      <c r="K629" s="497"/>
    </row>
    <row r="633" spans="11:20" x14ac:dyDescent="0.2">
      <c r="K633" s="497"/>
    </row>
    <row r="638" spans="11:20" x14ac:dyDescent="0.2">
      <c r="K638" s="497"/>
    </row>
  </sheetData>
  <mergeCells count="4">
    <mergeCell ref="A3:P3"/>
    <mergeCell ref="A2:P2"/>
    <mergeCell ref="A1:P1"/>
    <mergeCell ref="A9:P9"/>
  </mergeCells>
  <printOptions horizontalCentered="1"/>
  <pageMargins left="1" right="1" top="1" bottom="1" header="0.5" footer="0.5"/>
  <pageSetup scale="54" orientation="portrait" r:id="rId1"/>
  <headerFooter alignWithMargins="0">
    <oddHeader>&amp;RKY PSC Case No. 2016-0016
Attachment A to PSC 3-3(b)</oddHeader>
  </headerFooter>
  <ignoredErrors>
    <ignoredError sqref="D15:Q15 D17:Q34 P16:Q16 D36:Q56 P35:Q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2"/>
  <dimension ref="A1:S362"/>
  <sheetViews>
    <sheetView topLeftCell="A119" zoomScaleNormal="100" zoomScaleSheetLayoutView="70" workbookViewId="0">
      <selection activeCell="A137" sqref="A137"/>
    </sheetView>
  </sheetViews>
  <sheetFormatPr defaultColWidth="7" defaultRowHeight="10.199999999999999" x14ac:dyDescent="0.2"/>
  <cols>
    <col min="1" max="1" width="6.1640625" style="219" customWidth="1"/>
    <col min="2" max="2" width="25" style="219" customWidth="1"/>
    <col min="3" max="3" width="11.83203125" style="222" customWidth="1"/>
    <col min="4" max="4" width="12.83203125" style="219" bestFit="1" customWidth="1"/>
    <col min="5" max="7" width="10.83203125" style="222" bestFit="1" customWidth="1"/>
    <col min="8" max="15" width="10.83203125" style="219" bestFit="1" customWidth="1"/>
    <col min="16" max="16" width="12.33203125" style="219" customWidth="1"/>
    <col min="17" max="17" width="12.6640625" style="219" bestFit="1" customWidth="1"/>
    <col min="18" max="16384" width="7" style="219"/>
  </cols>
  <sheetData>
    <row r="1" spans="1:19" x14ac:dyDescent="0.2">
      <c r="A1" s="981" t="s">
        <v>36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</row>
    <row r="2" spans="1:19" x14ac:dyDescent="0.2">
      <c r="A2" s="981" t="s">
        <v>195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</row>
    <row r="3" spans="1:19" x14ac:dyDescent="0.2">
      <c r="A3" s="982" t="s">
        <v>408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</row>
    <row r="5" spans="1:19" x14ac:dyDescent="0.2">
      <c r="A5" s="580" t="s">
        <v>529</v>
      </c>
      <c r="C5" s="410"/>
      <c r="D5" s="410"/>
      <c r="E5" s="410"/>
      <c r="F5" s="410"/>
    </row>
    <row r="6" spans="1:19" x14ac:dyDescent="0.2">
      <c r="A6" s="580" t="s">
        <v>528</v>
      </c>
      <c r="C6" s="410"/>
      <c r="D6" s="410"/>
      <c r="E6" s="410"/>
      <c r="F6" s="410"/>
    </row>
    <row r="7" spans="1:19" x14ac:dyDescent="0.2">
      <c r="A7" s="581" t="s">
        <v>63</v>
      </c>
      <c r="C7" s="410"/>
      <c r="D7" s="410"/>
      <c r="E7" s="410"/>
      <c r="F7" s="410"/>
      <c r="P7" s="646" t="s">
        <v>334</v>
      </c>
    </row>
    <row r="8" spans="1:19" x14ac:dyDescent="0.2">
      <c r="A8" s="583" t="s">
        <v>302</v>
      </c>
      <c r="B8" s="224"/>
      <c r="C8" s="410"/>
      <c r="D8" s="416"/>
      <c r="E8" s="224"/>
      <c r="F8" s="417"/>
      <c r="G8" s="418"/>
      <c r="H8" s="417"/>
      <c r="I8" s="419"/>
      <c r="J8" s="417"/>
      <c r="K8" s="417"/>
      <c r="L8" s="417"/>
      <c r="M8" s="417"/>
      <c r="N8" s="417"/>
      <c r="O8" s="417"/>
      <c r="P8" s="647" t="s">
        <v>456</v>
      </c>
      <c r="Q8" s="224"/>
      <c r="R8" s="224"/>
    </row>
    <row r="9" spans="1:19" x14ac:dyDescent="0.2">
      <c r="A9" s="648"/>
      <c r="B9" s="224"/>
      <c r="C9" s="410"/>
      <c r="D9" s="416"/>
      <c r="E9" s="224"/>
      <c r="F9" s="417"/>
      <c r="G9" s="418"/>
      <c r="H9" s="417"/>
      <c r="I9" s="419"/>
      <c r="J9" s="417"/>
      <c r="K9" s="417"/>
      <c r="L9" s="417"/>
      <c r="M9" s="417"/>
      <c r="N9" s="417"/>
      <c r="O9" s="417"/>
      <c r="P9" s="417"/>
      <c r="Q9" s="224"/>
      <c r="R9" s="224"/>
    </row>
    <row r="10" spans="1:19" x14ac:dyDescent="0.2">
      <c r="A10" s="224" t="s">
        <v>1</v>
      </c>
      <c r="B10" s="224"/>
      <c r="C10" s="410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17"/>
      <c r="Q10" s="229"/>
      <c r="R10" s="229"/>
    </row>
    <row r="11" spans="1:19" x14ac:dyDescent="0.2">
      <c r="A11" s="226" t="s">
        <v>3</v>
      </c>
      <c r="B11" s="226" t="s">
        <v>4</v>
      </c>
      <c r="C11" s="281" t="s">
        <v>186</v>
      </c>
      <c r="D11" s="421" t="s">
        <v>409</v>
      </c>
      <c r="E11" s="421" t="s">
        <v>410</v>
      </c>
      <c r="F11" s="421" t="s">
        <v>411</v>
      </c>
      <c r="G11" s="421" t="s">
        <v>412</v>
      </c>
      <c r="H11" s="421" t="s">
        <v>413</v>
      </c>
      <c r="I11" s="421" t="s">
        <v>414</v>
      </c>
      <c r="J11" s="421" t="s">
        <v>415</v>
      </c>
      <c r="K11" s="421" t="s">
        <v>416</v>
      </c>
      <c r="L11" s="421" t="s">
        <v>417</v>
      </c>
      <c r="M11" s="421" t="s">
        <v>418</v>
      </c>
      <c r="N11" s="421" t="s">
        <v>419</v>
      </c>
      <c r="O11" s="421" t="s">
        <v>420</v>
      </c>
      <c r="P11" s="422" t="s">
        <v>9</v>
      </c>
      <c r="S11" s="282"/>
    </row>
    <row r="12" spans="1:19" x14ac:dyDescent="0.2">
      <c r="A12" s="224"/>
      <c r="B12" s="229" t="s">
        <v>42</v>
      </c>
      <c r="C12" s="230" t="s">
        <v>43</v>
      </c>
      <c r="D12" s="424" t="s">
        <v>45</v>
      </c>
      <c r="E12" s="424" t="s">
        <v>46</v>
      </c>
      <c r="F12" s="424" t="s">
        <v>49</v>
      </c>
      <c r="G12" s="424" t="s">
        <v>50</v>
      </c>
      <c r="H12" s="424" t="s">
        <v>51</v>
      </c>
      <c r="I12" s="424" t="s">
        <v>52</v>
      </c>
      <c r="J12" s="424" t="s">
        <v>53</v>
      </c>
      <c r="K12" s="425" t="s">
        <v>54</v>
      </c>
      <c r="L12" s="425" t="s">
        <v>55</v>
      </c>
      <c r="M12" s="425" t="s">
        <v>56</v>
      </c>
      <c r="N12" s="425" t="s">
        <v>57</v>
      </c>
      <c r="O12" s="425" t="s">
        <v>58</v>
      </c>
      <c r="P12" s="425" t="s">
        <v>59</v>
      </c>
      <c r="S12" s="229"/>
    </row>
    <row r="13" spans="1:19" x14ac:dyDescent="0.2">
      <c r="A13" s="224"/>
      <c r="B13" s="229"/>
      <c r="C13" s="230"/>
      <c r="D13" s="424"/>
      <c r="E13" s="424"/>
      <c r="F13" s="424"/>
      <c r="G13" s="424"/>
      <c r="H13" s="424"/>
      <c r="I13" s="424"/>
      <c r="J13" s="425"/>
      <c r="K13" s="425"/>
      <c r="L13" s="425"/>
      <c r="M13" s="425"/>
      <c r="N13" s="425"/>
      <c r="O13" s="425"/>
      <c r="P13" s="425"/>
      <c r="S13" s="229"/>
    </row>
    <row r="14" spans="1:19" x14ac:dyDescent="0.2">
      <c r="A14" s="231">
        <v>1</v>
      </c>
      <c r="B14" s="223" t="s">
        <v>241</v>
      </c>
      <c r="C14" s="230"/>
      <c r="D14" s="424"/>
      <c r="E14" s="424"/>
      <c r="F14" s="424"/>
      <c r="G14" s="424"/>
      <c r="H14" s="424"/>
      <c r="I14" s="424"/>
      <c r="J14" s="425"/>
      <c r="K14" s="425"/>
      <c r="L14" s="425"/>
      <c r="M14" s="425"/>
      <c r="N14" s="425"/>
      <c r="O14" s="425"/>
      <c r="P14" s="425"/>
      <c r="S14" s="229"/>
    </row>
    <row r="15" spans="1:19" x14ac:dyDescent="0.2">
      <c r="A15" s="649">
        <f>A14+1</f>
        <v>2</v>
      </c>
      <c r="B15" s="478" t="s">
        <v>288</v>
      </c>
      <c r="C15" s="650"/>
      <c r="D15" s="651">
        <v>97701</v>
      </c>
      <c r="E15" s="651">
        <v>97841</v>
      </c>
      <c r="F15" s="651">
        <f>97768+1</f>
        <v>97769</v>
      </c>
      <c r="G15" s="651">
        <f>97199+1</f>
        <v>97200</v>
      </c>
      <c r="H15" s="651">
        <f>96613+1</f>
        <v>96614</v>
      </c>
      <c r="I15" s="651">
        <f>95826+1</f>
        <v>95827</v>
      </c>
      <c r="J15" s="651">
        <f>95230+1</f>
        <v>95231</v>
      </c>
      <c r="K15" s="651">
        <v>94972</v>
      </c>
      <c r="L15" s="651">
        <v>94911</v>
      </c>
      <c r="M15" s="651">
        <v>95260</v>
      </c>
      <c r="N15" s="651">
        <v>96401</v>
      </c>
      <c r="O15" s="651">
        <v>97331</v>
      </c>
      <c r="P15" s="652">
        <f>SUM(D15:O15)</f>
        <v>1157058</v>
      </c>
      <c r="S15" s="229"/>
    </row>
    <row r="16" spans="1:19" x14ac:dyDescent="0.2">
      <c r="A16" s="649">
        <f t="shared" ref="A16:A17" si="0">A15+1</f>
        <v>3</v>
      </c>
      <c r="B16" s="478" t="s">
        <v>289</v>
      </c>
      <c r="C16" s="650"/>
      <c r="D16" s="654">
        <v>1588</v>
      </c>
      <c r="E16" s="654">
        <v>1632</v>
      </c>
      <c r="F16" s="654">
        <v>1773</v>
      </c>
      <c r="G16" s="654">
        <v>2322</v>
      </c>
      <c r="H16" s="654">
        <v>2426</v>
      </c>
      <c r="I16" s="654">
        <v>2267</v>
      </c>
      <c r="J16" s="654">
        <v>2008</v>
      </c>
      <c r="K16" s="654">
        <v>2645</v>
      </c>
      <c r="L16" s="654">
        <v>2068</v>
      </c>
      <c r="M16" s="654">
        <v>1695</v>
      </c>
      <c r="N16" s="654">
        <v>1590</v>
      </c>
      <c r="O16" s="654">
        <v>1594</v>
      </c>
      <c r="P16" s="303">
        <f>SUM(D16:O16)</f>
        <v>23608</v>
      </c>
      <c r="S16" s="229"/>
    </row>
    <row r="17" spans="1:19" x14ac:dyDescent="0.2">
      <c r="A17" s="649">
        <f t="shared" si="0"/>
        <v>4</v>
      </c>
      <c r="B17" s="478" t="s">
        <v>259</v>
      </c>
      <c r="C17" s="650"/>
      <c r="D17" s="498">
        <f t="shared" ref="D17:O17" si="1">SUM(D15:D16)</f>
        <v>99289</v>
      </c>
      <c r="E17" s="498">
        <f t="shared" si="1"/>
        <v>99473</v>
      </c>
      <c r="F17" s="498">
        <f t="shared" si="1"/>
        <v>99542</v>
      </c>
      <c r="G17" s="498">
        <f t="shared" si="1"/>
        <v>99522</v>
      </c>
      <c r="H17" s="498">
        <f t="shared" si="1"/>
        <v>99040</v>
      </c>
      <c r="I17" s="498">
        <f t="shared" si="1"/>
        <v>98094</v>
      </c>
      <c r="J17" s="498">
        <f t="shared" si="1"/>
        <v>97239</v>
      </c>
      <c r="K17" s="498">
        <f t="shared" si="1"/>
        <v>97617</v>
      </c>
      <c r="L17" s="498">
        <f t="shared" si="1"/>
        <v>96979</v>
      </c>
      <c r="M17" s="498">
        <f t="shared" si="1"/>
        <v>96955</v>
      </c>
      <c r="N17" s="498">
        <f t="shared" si="1"/>
        <v>97991</v>
      </c>
      <c r="O17" s="498">
        <f t="shared" si="1"/>
        <v>98925</v>
      </c>
      <c r="P17" s="652">
        <f>SUM(D17:O17)</f>
        <v>1180666</v>
      </c>
      <c r="Q17" s="505"/>
      <c r="S17" s="229"/>
    </row>
    <row r="18" spans="1:19" x14ac:dyDescent="0.2">
      <c r="A18" s="301"/>
      <c r="B18" s="455"/>
      <c r="C18" s="302"/>
      <c r="D18" s="655"/>
      <c r="E18" s="655"/>
      <c r="F18" s="655"/>
      <c r="G18" s="655"/>
      <c r="H18" s="656"/>
      <c r="I18" s="656"/>
      <c r="J18" s="656"/>
      <c r="K18" s="656"/>
      <c r="L18" s="656"/>
      <c r="M18" s="656"/>
      <c r="N18" s="656"/>
      <c r="O18" s="656"/>
      <c r="P18" s="657"/>
    </row>
    <row r="19" spans="1:19" x14ac:dyDescent="0.2">
      <c r="A19" s="649">
        <f>A17+1</f>
        <v>5</v>
      </c>
      <c r="B19" s="494" t="s">
        <v>242</v>
      </c>
      <c r="C19" s="658"/>
      <c r="D19" s="591"/>
      <c r="E19" s="591"/>
      <c r="F19" s="591"/>
      <c r="G19" s="591"/>
      <c r="H19" s="591"/>
      <c r="I19" s="591"/>
      <c r="J19" s="592"/>
      <c r="K19" s="592"/>
      <c r="L19" s="592"/>
      <c r="M19" s="592"/>
      <c r="N19" s="592"/>
      <c r="O19" s="592"/>
      <c r="P19" s="592"/>
      <c r="S19" s="229"/>
    </row>
    <row r="20" spans="1:19" x14ac:dyDescent="0.2">
      <c r="A20" s="649">
        <f>A19+1</f>
        <v>6</v>
      </c>
      <c r="B20" s="478" t="s">
        <v>288</v>
      </c>
      <c r="C20" s="650"/>
      <c r="D20" s="651">
        <v>3</v>
      </c>
      <c r="E20" s="651">
        <v>3</v>
      </c>
      <c r="F20" s="651">
        <v>4</v>
      </c>
      <c r="G20" s="651">
        <v>4</v>
      </c>
      <c r="H20" s="651">
        <v>4</v>
      </c>
      <c r="I20" s="651">
        <v>4</v>
      </c>
      <c r="J20" s="651">
        <v>3</v>
      </c>
      <c r="K20" s="651">
        <v>3</v>
      </c>
      <c r="L20" s="651">
        <v>3</v>
      </c>
      <c r="M20" s="651">
        <v>3</v>
      </c>
      <c r="N20" s="651">
        <v>3</v>
      </c>
      <c r="O20" s="651">
        <v>3</v>
      </c>
      <c r="P20" s="652">
        <f>SUM(D20:O20)</f>
        <v>40</v>
      </c>
      <c r="S20" s="229"/>
    </row>
    <row r="21" spans="1:19" x14ac:dyDescent="0.2">
      <c r="A21" s="649">
        <f>A20+1</f>
        <v>7</v>
      </c>
      <c r="B21" s="478" t="s">
        <v>289</v>
      </c>
      <c r="C21" s="650"/>
      <c r="D21" s="654">
        <v>0</v>
      </c>
      <c r="E21" s="654">
        <v>0</v>
      </c>
      <c r="F21" s="654">
        <v>0</v>
      </c>
      <c r="G21" s="654">
        <v>0</v>
      </c>
      <c r="H21" s="654">
        <v>0</v>
      </c>
      <c r="I21" s="654">
        <v>0</v>
      </c>
      <c r="J21" s="654">
        <v>1</v>
      </c>
      <c r="K21" s="654">
        <v>0</v>
      </c>
      <c r="L21" s="654">
        <v>0</v>
      </c>
      <c r="M21" s="654">
        <v>0</v>
      </c>
      <c r="N21" s="654">
        <v>0</v>
      </c>
      <c r="O21" s="654">
        <v>0</v>
      </c>
      <c r="P21" s="303">
        <f>SUM(D21:O21)</f>
        <v>1</v>
      </c>
      <c r="S21" s="229"/>
    </row>
    <row r="22" spans="1:19" x14ac:dyDescent="0.2">
      <c r="A22" s="649">
        <f>A21+1</f>
        <v>8</v>
      </c>
      <c r="B22" s="478" t="s">
        <v>259</v>
      </c>
      <c r="C22" s="650"/>
      <c r="D22" s="498">
        <f t="shared" ref="D22:O22" si="2">SUM(D20:D21)</f>
        <v>3</v>
      </c>
      <c r="E22" s="498">
        <f t="shared" si="2"/>
        <v>3</v>
      </c>
      <c r="F22" s="498">
        <f t="shared" si="2"/>
        <v>4</v>
      </c>
      <c r="G22" s="498">
        <f t="shared" si="2"/>
        <v>4</v>
      </c>
      <c r="H22" s="498">
        <f t="shared" si="2"/>
        <v>4</v>
      </c>
      <c r="I22" s="498">
        <f t="shared" si="2"/>
        <v>4</v>
      </c>
      <c r="J22" s="498">
        <f t="shared" si="2"/>
        <v>4</v>
      </c>
      <c r="K22" s="498">
        <f t="shared" si="2"/>
        <v>3</v>
      </c>
      <c r="L22" s="498">
        <f t="shared" si="2"/>
        <v>3</v>
      </c>
      <c r="M22" s="498">
        <f t="shared" si="2"/>
        <v>3</v>
      </c>
      <c r="N22" s="498">
        <f t="shared" si="2"/>
        <v>3</v>
      </c>
      <c r="O22" s="498">
        <f t="shared" si="2"/>
        <v>3</v>
      </c>
      <c r="P22" s="652">
        <f>SUM(D22:O22)</f>
        <v>41</v>
      </c>
      <c r="S22" s="229"/>
    </row>
    <row r="23" spans="1:19" x14ac:dyDescent="0.2">
      <c r="A23" s="649"/>
      <c r="B23" s="478"/>
      <c r="C23" s="650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652"/>
      <c r="S23" s="229"/>
    </row>
    <row r="24" spans="1:19" x14ac:dyDescent="0.2">
      <c r="A24" s="649">
        <f>A22+1</f>
        <v>9</v>
      </c>
      <c r="B24" s="494" t="s">
        <v>243</v>
      </c>
      <c r="C24" s="658"/>
      <c r="D24" s="591"/>
      <c r="E24" s="591"/>
      <c r="F24" s="591"/>
      <c r="G24" s="591"/>
      <c r="H24" s="591"/>
      <c r="I24" s="591"/>
      <c r="J24" s="592"/>
      <c r="K24" s="592"/>
      <c r="L24" s="592"/>
      <c r="M24" s="592"/>
      <c r="N24" s="592"/>
      <c r="O24" s="592"/>
      <c r="P24" s="592"/>
      <c r="S24" s="229"/>
    </row>
    <row r="25" spans="1:19" x14ac:dyDescent="0.2">
      <c r="A25" s="649">
        <f>A24+1</f>
        <v>10</v>
      </c>
      <c r="B25" s="478" t="s">
        <v>288</v>
      </c>
      <c r="C25" s="650"/>
      <c r="D25" s="651">
        <v>16</v>
      </c>
      <c r="E25" s="651">
        <v>16</v>
      </c>
      <c r="F25" s="651">
        <v>16</v>
      </c>
      <c r="G25" s="651">
        <v>16</v>
      </c>
      <c r="H25" s="651">
        <v>16</v>
      </c>
      <c r="I25" s="651">
        <v>16</v>
      </c>
      <c r="J25" s="651">
        <v>16</v>
      </c>
      <c r="K25" s="651">
        <v>16</v>
      </c>
      <c r="L25" s="651">
        <v>16</v>
      </c>
      <c r="M25" s="651">
        <v>16</v>
      </c>
      <c r="N25" s="651">
        <v>16</v>
      </c>
      <c r="O25" s="651">
        <v>16</v>
      </c>
      <c r="P25" s="652">
        <f>SUM(D25:O25)</f>
        <v>192</v>
      </c>
      <c r="S25" s="229"/>
    </row>
    <row r="26" spans="1:19" x14ac:dyDescent="0.2">
      <c r="A26" s="649">
        <f t="shared" ref="A26:A27" si="3">A25+1</f>
        <v>11</v>
      </c>
      <c r="B26" s="478" t="s">
        <v>289</v>
      </c>
      <c r="C26" s="650"/>
      <c r="D26" s="654">
        <v>0</v>
      </c>
      <c r="E26" s="654">
        <v>0</v>
      </c>
      <c r="F26" s="654">
        <v>0</v>
      </c>
      <c r="G26" s="654">
        <v>0</v>
      </c>
      <c r="H26" s="654">
        <v>0</v>
      </c>
      <c r="I26" s="654">
        <v>0</v>
      </c>
      <c r="J26" s="654">
        <v>0</v>
      </c>
      <c r="K26" s="654">
        <v>0</v>
      </c>
      <c r="L26" s="654">
        <v>0</v>
      </c>
      <c r="M26" s="654">
        <v>0</v>
      </c>
      <c r="N26" s="654">
        <v>0</v>
      </c>
      <c r="O26" s="654">
        <v>0</v>
      </c>
      <c r="P26" s="303">
        <f>SUM(D26:O26)</f>
        <v>0</v>
      </c>
      <c r="S26" s="229"/>
    </row>
    <row r="27" spans="1:19" x14ac:dyDescent="0.2">
      <c r="A27" s="649">
        <f t="shared" si="3"/>
        <v>12</v>
      </c>
      <c r="B27" s="478" t="s">
        <v>259</v>
      </c>
      <c r="C27" s="650"/>
      <c r="D27" s="498">
        <f t="shared" ref="D27:O27" si="4">SUM(D25:D26)</f>
        <v>16</v>
      </c>
      <c r="E27" s="498">
        <f t="shared" si="4"/>
        <v>16</v>
      </c>
      <c r="F27" s="498">
        <f t="shared" si="4"/>
        <v>16</v>
      </c>
      <c r="G27" s="498">
        <f t="shared" si="4"/>
        <v>16</v>
      </c>
      <c r="H27" s="498">
        <f t="shared" si="4"/>
        <v>16</v>
      </c>
      <c r="I27" s="498">
        <f t="shared" si="4"/>
        <v>16</v>
      </c>
      <c r="J27" s="498">
        <f t="shared" si="4"/>
        <v>16</v>
      </c>
      <c r="K27" s="498">
        <f t="shared" si="4"/>
        <v>16</v>
      </c>
      <c r="L27" s="498">
        <f t="shared" si="4"/>
        <v>16</v>
      </c>
      <c r="M27" s="498">
        <f t="shared" si="4"/>
        <v>16</v>
      </c>
      <c r="N27" s="498">
        <f t="shared" si="4"/>
        <v>16</v>
      </c>
      <c r="O27" s="498">
        <f t="shared" si="4"/>
        <v>16</v>
      </c>
      <c r="P27" s="652">
        <f>SUM(D27:O27)</f>
        <v>192</v>
      </c>
      <c r="S27" s="229"/>
    </row>
    <row r="28" spans="1:19" x14ac:dyDescent="0.2">
      <c r="A28" s="649"/>
      <c r="B28" s="478"/>
      <c r="C28" s="650"/>
      <c r="D28" s="659"/>
      <c r="E28" s="659"/>
      <c r="F28" s="659"/>
      <c r="G28" s="659"/>
      <c r="H28" s="659"/>
      <c r="I28" s="659"/>
      <c r="J28" s="660"/>
      <c r="K28" s="660"/>
      <c r="L28" s="660"/>
      <c r="M28" s="660"/>
      <c r="N28" s="660"/>
      <c r="O28" s="660"/>
      <c r="P28" s="660"/>
      <c r="S28" s="229"/>
    </row>
    <row r="29" spans="1:19" x14ac:dyDescent="0.2">
      <c r="A29" s="649">
        <f>A27+1</f>
        <v>13</v>
      </c>
      <c r="B29" s="494" t="s">
        <v>245</v>
      </c>
      <c r="C29" s="658"/>
      <c r="D29" s="591"/>
      <c r="E29" s="591"/>
      <c r="F29" s="591"/>
      <c r="G29" s="591"/>
      <c r="H29" s="591"/>
      <c r="I29" s="591"/>
      <c r="J29" s="592"/>
      <c r="K29" s="592"/>
      <c r="L29" s="592"/>
      <c r="M29" s="592"/>
      <c r="N29" s="592"/>
      <c r="O29" s="592"/>
      <c r="P29" s="592"/>
      <c r="S29" s="229"/>
    </row>
    <row r="30" spans="1:19" x14ac:dyDescent="0.2">
      <c r="A30" s="649">
        <f>A29+1</f>
        <v>14</v>
      </c>
      <c r="B30" s="478" t="s">
        <v>288</v>
      </c>
      <c r="C30" s="650"/>
      <c r="D30" s="651">
        <v>9</v>
      </c>
      <c r="E30" s="651">
        <v>9</v>
      </c>
      <c r="F30" s="651">
        <v>9</v>
      </c>
      <c r="G30" s="651">
        <v>9</v>
      </c>
      <c r="H30" s="651">
        <v>8</v>
      </c>
      <c r="I30" s="651">
        <v>9</v>
      </c>
      <c r="J30" s="651">
        <v>9</v>
      </c>
      <c r="K30" s="651">
        <v>9</v>
      </c>
      <c r="L30" s="651">
        <v>9</v>
      </c>
      <c r="M30" s="651">
        <v>9</v>
      </c>
      <c r="N30" s="651">
        <v>9</v>
      </c>
      <c r="O30" s="651">
        <v>9</v>
      </c>
      <c r="P30" s="652">
        <f>SUM(D30:O30)</f>
        <v>107</v>
      </c>
      <c r="S30" s="229"/>
    </row>
    <row r="31" spans="1:19" x14ac:dyDescent="0.2">
      <c r="A31" s="649">
        <f t="shared" ref="A31:A32" si="5">A30+1</f>
        <v>15</v>
      </c>
      <c r="B31" s="478" t="s">
        <v>289</v>
      </c>
      <c r="C31" s="650"/>
      <c r="D31" s="654">
        <v>0</v>
      </c>
      <c r="E31" s="654">
        <v>0</v>
      </c>
      <c r="F31" s="654">
        <v>0</v>
      </c>
      <c r="G31" s="654">
        <v>1</v>
      </c>
      <c r="H31" s="654">
        <v>0</v>
      </c>
      <c r="I31" s="654">
        <v>0</v>
      </c>
      <c r="J31" s="654">
        <v>0</v>
      </c>
      <c r="K31" s="654">
        <v>0</v>
      </c>
      <c r="L31" s="654">
        <v>0</v>
      </c>
      <c r="M31" s="654">
        <v>0</v>
      </c>
      <c r="N31" s="654">
        <v>0</v>
      </c>
      <c r="O31" s="654">
        <v>0</v>
      </c>
      <c r="P31" s="303">
        <f>SUM(D31:O31)</f>
        <v>1</v>
      </c>
      <c r="S31" s="229"/>
    </row>
    <row r="32" spans="1:19" x14ac:dyDescent="0.2">
      <c r="A32" s="649">
        <f t="shared" si="5"/>
        <v>16</v>
      </c>
      <c r="B32" s="478" t="s">
        <v>259</v>
      </c>
      <c r="C32" s="650"/>
      <c r="D32" s="498">
        <f t="shared" ref="D32:O32" si="6">SUM(D30:D31)</f>
        <v>9</v>
      </c>
      <c r="E32" s="498">
        <f t="shared" si="6"/>
        <v>9</v>
      </c>
      <c r="F32" s="498">
        <f t="shared" si="6"/>
        <v>9</v>
      </c>
      <c r="G32" s="498">
        <f t="shared" si="6"/>
        <v>10</v>
      </c>
      <c r="H32" s="498">
        <f t="shared" si="6"/>
        <v>8</v>
      </c>
      <c r="I32" s="498">
        <f t="shared" si="6"/>
        <v>9</v>
      </c>
      <c r="J32" s="498">
        <f t="shared" si="6"/>
        <v>9</v>
      </c>
      <c r="K32" s="498">
        <f t="shared" si="6"/>
        <v>9</v>
      </c>
      <c r="L32" s="498">
        <f t="shared" si="6"/>
        <v>9</v>
      </c>
      <c r="M32" s="498">
        <f t="shared" si="6"/>
        <v>9</v>
      </c>
      <c r="N32" s="498">
        <f t="shared" si="6"/>
        <v>9</v>
      </c>
      <c r="O32" s="498">
        <f t="shared" si="6"/>
        <v>9</v>
      </c>
      <c r="P32" s="652">
        <f>SUM(D32:O32)</f>
        <v>108</v>
      </c>
      <c r="S32" s="229"/>
    </row>
    <row r="33" spans="1:19" x14ac:dyDescent="0.2">
      <c r="A33" s="649"/>
      <c r="B33" s="478"/>
      <c r="C33" s="650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S33" s="229"/>
    </row>
    <row r="34" spans="1:19" x14ac:dyDescent="0.2">
      <c r="A34" s="649">
        <f>A32+1</f>
        <v>17</v>
      </c>
      <c r="B34" s="663" t="s">
        <v>246</v>
      </c>
      <c r="C34" s="658"/>
      <c r="D34" s="591"/>
      <c r="E34" s="591"/>
      <c r="F34" s="591"/>
      <c r="G34" s="591"/>
      <c r="H34" s="591"/>
      <c r="I34" s="591"/>
      <c r="J34" s="591"/>
      <c r="K34" s="592"/>
      <c r="L34" s="592"/>
      <c r="M34" s="592"/>
      <c r="N34" s="592"/>
      <c r="O34" s="592"/>
      <c r="P34" s="592"/>
      <c r="S34" s="229"/>
    </row>
    <row r="35" spans="1:19" x14ac:dyDescent="0.2">
      <c r="A35" s="649">
        <f>A34+1</f>
        <v>18</v>
      </c>
      <c r="B35" s="478" t="s">
        <v>288</v>
      </c>
      <c r="C35" s="650"/>
      <c r="D35" s="653">
        <v>0</v>
      </c>
      <c r="E35" s="653">
        <v>0</v>
      </c>
      <c r="F35" s="653">
        <v>0</v>
      </c>
      <c r="G35" s="653">
        <v>0</v>
      </c>
      <c r="H35" s="653">
        <v>0</v>
      </c>
      <c r="I35" s="653">
        <v>0</v>
      </c>
      <c r="J35" s="653">
        <v>0</v>
      </c>
      <c r="K35" s="653">
        <v>0</v>
      </c>
      <c r="L35" s="653">
        <v>0</v>
      </c>
      <c r="M35" s="653">
        <v>0</v>
      </c>
      <c r="N35" s="653">
        <v>0</v>
      </c>
      <c r="O35" s="653">
        <v>0</v>
      </c>
      <c r="P35" s="304">
        <f>SUM(D35:O35)</f>
        <v>0</v>
      </c>
      <c r="S35" s="229"/>
    </row>
    <row r="36" spans="1:19" x14ac:dyDescent="0.2">
      <c r="A36" s="649">
        <f t="shared" ref="A36:A37" si="7">A35+1</f>
        <v>19</v>
      </c>
      <c r="B36" s="478" t="s">
        <v>289</v>
      </c>
      <c r="C36" s="650"/>
      <c r="D36" s="654">
        <v>0</v>
      </c>
      <c r="E36" s="654">
        <v>0</v>
      </c>
      <c r="F36" s="654">
        <v>0</v>
      </c>
      <c r="G36" s="654">
        <v>0</v>
      </c>
      <c r="H36" s="654">
        <v>0</v>
      </c>
      <c r="I36" s="654">
        <v>0</v>
      </c>
      <c r="J36" s="654">
        <v>0</v>
      </c>
      <c r="K36" s="654">
        <v>0</v>
      </c>
      <c r="L36" s="654">
        <v>0</v>
      </c>
      <c r="M36" s="654">
        <v>0</v>
      </c>
      <c r="N36" s="654">
        <v>0</v>
      </c>
      <c r="O36" s="654">
        <v>0</v>
      </c>
      <c r="P36" s="303">
        <f>SUM(D36:O36)</f>
        <v>0</v>
      </c>
      <c r="Q36" s="222"/>
      <c r="S36" s="229"/>
    </row>
    <row r="37" spans="1:19" x14ac:dyDescent="0.2">
      <c r="A37" s="649">
        <f t="shared" si="7"/>
        <v>20</v>
      </c>
      <c r="B37" s="478" t="s">
        <v>259</v>
      </c>
      <c r="C37" s="650"/>
      <c r="D37" s="304">
        <f t="shared" ref="D37:O37" si="8">SUM(D35:D36)</f>
        <v>0</v>
      </c>
      <c r="E37" s="304">
        <f t="shared" si="8"/>
        <v>0</v>
      </c>
      <c r="F37" s="304">
        <f t="shared" si="8"/>
        <v>0</v>
      </c>
      <c r="G37" s="304">
        <f t="shared" si="8"/>
        <v>0</v>
      </c>
      <c r="H37" s="304">
        <f t="shared" si="8"/>
        <v>0</v>
      </c>
      <c r="I37" s="304">
        <f t="shared" si="8"/>
        <v>0</v>
      </c>
      <c r="J37" s="304">
        <f t="shared" si="8"/>
        <v>0</v>
      </c>
      <c r="K37" s="304">
        <f t="shared" si="8"/>
        <v>0</v>
      </c>
      <c r="L37" s="304">
        <f t="shared" si="8"/>
        <v>0</v>
      </c>
      <c r="M37" s="304">
        <f t="shared" si="8"/>
        <v>0</v>
      </c>
      <c r="N37" s="304">
        <f t="shared" si="8"/>
        <v>0</v>
      </c>
      <c r="O37" s="304">
        <f t="shared" si="8"/>
        <v>0</v>
      </c>
      <c r="P37" s="304">
        <f>SUM(D37:O37)</f>
        <v>0</v>
      </c>
      <c r="S37" s="229"/>
    </row>
    <row r="38" spans="1:19" x14ac:dyDescent="0.2">
      <c r="A38" s="649"/>
      <c r="B38" s="478"/>
      <c r="C38" s="650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652"/>
      <c r="S38" s="229"/>
    </row>
    <row r="39" spans="1:19" x14ac:dyDescent="0.2">
      <c r="A39" s="649">
        <f>A37+1</f>
        <v>21</v>
      </c>
      <c r="B39" s="494" t="s">
        <v>247</v>
      </c>
      <c r="C39" s="658"/>
      <c r="D39" s="661"/>
      <c r="E39" s="661"/>
      <c r="F39" s="661"/>
      <c r="G39" s="661"/>
      <c r="H39" s="661"/>
      <c r="I39" s="661"/>
      <c r="J39" s="662"/>
      <c r="K39" s="662"/>
      <c r="L39" s="662"/>
      <c r="M39" s="662"/>
      <c r="N39" s="662"/>
      <c r="O39" s="662"/>
      <c r="P39" s="592"/>
      <c r="S39" s="229"/>
    </row>
    <row r="40" spans="1:19" x14ac:dyDescent="0.2">
      <c r="A40" s="649">
        <f>A39+1</f>
        <v>22</v>
      </c>
      <c r="B40" s="478" t="s">
        <v>288</v>
      </c>
      <c r="C40" s="650"/>
      <c r="D40" s="651">
        <v>3</v>
      </c>
      <c r="E40" s="651">
        <v>3</v>
      </c>
      <c r="F40" s="651">
        <v>3</v>
      </c>
      <c r="G40" s="651">
        <v>3</v>
      </c>
      <c r="H40" s="651">
        <v>3</v>
      </c>
      <c r="I40" s="651">
        <v>3</v>
      </c>
      <c r="J40" s="651">
        <v>3</v>
      </c>
      <c r="K40" s="651">
        <v>3</v>
      </c>
      <c r="L40" s="651">
        <v>3</v>
      </c>
      <c r="M40" s="651">
        <v>3</v>
      </c>
      <c r="N40" s="651">
        <v>3</v>
      </c>
      <c r="O40" s="651">
        <v>3</v>
      </c>
      <c r="P40" s="652">
        <f>SUM(D40:O40)</f>
        <v>36</v>
      </c>
      <c r="S40" s="229"/>
    </row>
    <row r="41" spans="1:19" x14ac:dyDescent="0.2">
      <c r="A41" s="649">
        <f t="shared" ref="A41:A42" si="9">A40+1</f>
        <v>23</v>
      </c>
      <c r="B41" s="478" t="s">
        <v>289</v>
      </c>
      <c r="C41" s="650"/>
      <c r="D41" s="654">
        <v>0</v>
      </c>
      <c r="E41" s="654">
        <v>0</v>
      </c>
      <c r="F41" s="654">
        <v>0</v>
      </c>
      <c r="G41" s="654">
        <v>0</v>
      </c>
      <c r="H41" s="654">
        <v>0</v>
      </c>
      <c r="I41" s="654">
        <v>0</v>
      </c>
      <c r="J41" s="654">
        <v>0</v>
      </c>
      <c r="K41" s="654">
        <v>0</v>
      </c>
      <c r="L41" s="654">
        <v>0</v>
      </c>
      <c r="M41" s="654">
        <v>0</v>
      </c>
      <c r="N41" s="654">
        <v>0</v>
      </c>
      <c r="O41" s="654">
        <v>0</v>
      </c>
      <c r="P41" s="303">
        <f>SUM(D41:O41)</f>
        <v>0</v>
      </c>
      <c r="S41" s="229"/>
    </row>
    <row r="42" spans="1:19" x14ac:dyDescent="0.2">
      <c r="A42" s="649">
        <f t="shared" si="9"/>
        <v>24</v>
      </c>
      <c r="B42" s="478" t="s">
        <v>259</v>
      </c>
      <c r="C42" s="650"/>
      <c r="D42" s="498">
        <f t="shared" ref="D42:O42" si="10">SUM(D40:D41)</f>
        <v>3</v>
      </c>
      <c r="E42" s="498">
        <f t="shared" si="10"/>
        <v>3</v>
      </c>
      <c r="F42" s="498">
        <f t="shared" si="10"/>
        <v>3</v>
      </c>
      <c r="G42" s="498">
        <f t="shared" si="10"/>
        <v>3</v>
      </c>
      <c r="H42" s="498">
        <f t="shared" si="10"/>
        <v>3</v>
      </c>
      <c r="I42" s="498">
        <f t="shared" si="10"/>
        <v>3</v>
      </c>
      <c r="J42" s="498">
        <f t="shared" si="10"/>
        <v>3</v>
      </c>
      <c r="K42" s="498">
        <f t="shared" si="10"/>
        <v>3</v>
      </c>
      <c r="L42" s="498">
        <f t="shared" si="10"/>
        <v>3</v>
      </c>
      <c r="M42" s="498">
        <f t="shared" si="10"/>
        <v>3</v>
      </c>
      <c r="N42" s="498">
        <f t="shared" si="10"/>
        <v>3</v>
      </c>
      <c r="O42" s="498">
        <f t="shared" si="10"/>
        <v>3</v>
      </c>
      <c r="P42" s="652">
        <f>SUM(D42:O42)</f>
        <v>36</v>
      </c>
      <c r="S42" s="229"/>
    </row>
    <row r="43" spans="1:19" x14ac:dyDescent="0.2">
      <c r="A43" s="649"/>
      <c r="B43" s="478"/>
      <c r="C43" s="650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652"/>
      <c r="S43" s="790"/>
    </row>
    <row r="44" spans="1:19" x14ac:dyDescent="0.2">
      <c r="A44" s="649">
        <f>A42+1</f>
        <v>25</v>
      </c>
      <c r="B44" s="494" t="s">
        <v>248</v>
      </c>
      <c r="C44" s="658"/>
      <c r="D44" s="661"/>
      <c r="E44" s="661"/>
      <c r="F44" s="661"/>
      <c r="G44" s="661"/>
      <c r="H44" s="661"/>
      <c r="I44" s="661"/>
      <c r="J44" s="662"/>
      <c r="K44" s="662"/>
      <c r="L44" s="662"/>
      <c r="M44" s="662"/>
      <c r="N44" s="662"/>
      <c r="O44" s="662"/>
      <c r="P44" s="592"/>
      <c r="S44" s="790"/>
    </row>
    <row r="45" spans="1:19" x14ac:dyDescent="0.2">
      <c r="A45" s="649">
        <f>A44+1</f>
        <v>26</v>
      </c>
      <c r="B45" s="478" t="s">
        <v>288</v>
      </c>
      <c r="C45" s="650"/>
      <c r="D45" s="651">
        <v>1</v>
      </c>
      <c r="E45" s="651">
        <v>1</v>
      </c>
      <c r="F45" s="651">
        <v>1</v>
      </c>
      <c r="G45" s="651">
        <v>1</v>
      </c>
      <c r="H45" s="651">
        <v>1</v>
      </c>
      <c r="I45" s="651">
        <v>1</v>
      </c>
      <c r="J45" s="651">
        <v>1</v>
      </c>
      <c r="K45" s="651">
        <v>1</v>
      </c>
      <c r="L45" s="651">
        <v>1</v>
      </c>
      <c r="M45" s="651">
        <v>1</v>
      </c>
      <c r="N45" s="651">
        <v>1</v>
      </c>
      <c r="O45" s="651">
        <v>1</v>
      </c>
      <c r="P45" s="652">
        <f>SUM(D45:O45)</f>
        <v>12</v>
      </c>
      <c r="S45" s="790"/>
    </row>
    <row r="46" spans="1:19" x14ac:dyDescent="0.2">
      <c r="A46" s="649">
        <f t="shared" ref="A46:A47" si="11">A45+1</f>
        <v>27</v>
      </c>
      <c r="B46" s="478" t="s">
        <v>289</v>
      </c>
      <c r="C46" s="650"/>
      <c r="D46" s="654">
        <v>0</v>
      </c>
      <c r="E46" s="654">
        <v>0</v>
      </c>
      <c r="F46" s="654">
        <v>0</v>
      </c>
      <c r="G46" s="654">
        <v>0</v>
      </c>
      <c r="H46" s="654">
        <v>0</v>
      </c>
      <c r="I46" s="654">
        <v>0</v>
      </c>
      <c r="J46" s="654">
        <v>0</v>
      </c>
      <c r="K46" s="654">
        <v>0</v>
      </c>
      <c r="L46" s="654">
        <v>0</v>
      </c>
      <c r="M46" s="654">
        <v>0</v>
      </c>
      <c r="N46" s="654">
        <v>0</v>
      </c>
      <c r="O46" s="654">
        <v>0</v>
      </c>
      <c r="P46" s="303">
        <f>SUM(D46:O46)</f>
        <v>0</v>
      </c>
      <c r="S46" s="790"/>
    </row>
    <row r="47" spans="1:19" x14ac:dyDescent="0.2">
      <c r="A47" s="649">
        <f t="shared" si="11"/>
        <v>28</v>
      </c>
      <c r="B47" s="478" t="s">
        <v>259</v>
      </c>
      <c r="C47" s="650"/>
      <c r="D47" s="498">
        <f t="shared" ref="D47:O47" si="12">SUM(D45:D46)</f>
        <v>1</v>
      </c>
      <c r="E47" s="498">
        <f t="shared" si="12"/>
        <v>1</v>
      </c>
      <c r="F47" s="498">
        <f t="shared" si="12"/>
        <v>1</v>
      </c>
      <c r="G47" s="498">
        <f t="shared" si="12"/>
        <v>1</v>
      </c>
      <c r="H47" s="498">
        <f t="shared" si="12"/>
        <v>1</v>
      </c>
      <c r="I47" s="498">
        <f t="shared" si="12"/>
        <v>1</v>
      </c>
      <c r="J47" s="498">
        <f t="shared" si="12"/>
        <v>1</v>
      </c>
      <c r="K47" s="498">
        <f t="shared" si="12"/>
        <v>1</v>
      </c>
      <c r="L47" s="498">
        <f t="shared" si="12"/>
        <v>1</v>
      </c>
      <c r="M47" s="498">
        <f t="shared" si="12"/>
        <v>1</v>
      </c>
      <c r="N47" s="498">
        <f t="shared" si="12"/>
        <v>1</v>
      </c>
      <c r="O47" s="498">
        <f t="shared" si="12"/>
        <v>1</v>
      </c>
      <c r="P47" s="652">
        <f>SUM(D47:O47)</f>
        <v>12</v>
      </c>
      <c r="S47" s="790"/>
    </row>
    <row r="48" spans="1:19" x14ac:dyDescent="0.2">
      <c r="A48" s="649"/>
      <c r="B48" s="478"/>
      <c r="C48" s="650"/>
      <c r="D48" s="498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652"/>
      <c r="S48" s="790"/>
    </row>
    <row r="49" spans="1:19" x14ac:dyDescent="0.2">
      <c r="A49" s="649">
        <f>A47+1</f>
        <v>29</v>
      </c>
      <c r="B49" s="494" t="s">
        <v>249</v>
      </c>
      <c r="C49" s="658"/>
      <c r="D49" s="661"/>
      <c r="E49" s="661"/>
      <c r="F49" s="661"/>
      <c r="G49" s="661"/>
      <c r="H49" s="661"/>
      <c r="I49" s="661"/>
      <c r="J49" s="662"/>
      <c r="K49" s="662"/>
      <c r="L49" s="662"/>
      <c r="M49" s="662"/>
      <c r="N49" s="662"/>
      <c r="O49" s="662"/>
      <c r="P49" s="592"/>
      <c r="S49" s="790"/>
    </row>
    <row r="50" spans="1:19" x14ac:dyDescent="0.2">
      <c r="A50" s="649">
        <f>A49+1</f>
        <v>30</v>
      </c>
      <c r="B50" s="478" t="s">
        <v>288</v>
      </c>
      <c r="C50" s="650"/>
      <c r="D50" s="651">
        <v>1</v>
      </c>
      <c r="E50" s="651">
        <v>1</v>
      </c>
      <c r="F50" s="651">
        <v>1</v>
      </c>
      <c r="G50" s="651">
        <v>1</v>
      </c>
      <c r="H50" s="651">
        <v>1</v>
      </c>
      <c r="I50" s="651">
        <v>1</v>
      </c>
      <c r="J50" s="651">
        <v>1</v>
      </c>
      <c r="K50" s="651">
        <v>1</v>
      </c>
      <c r="L50" s="651">
        <v>1</v>
      </c>
      <c r="M50" s="651">
        <v>1</v>
      </c>
      <c r="N50" s="651">
        <v>1</v>
      </c>
      <c r="O50" s="651">
        <v>1</v>
      </c>
      <c r="P50" s="652">
        <f>SUM(D50:O50)</f>
        <v>12</v>
      </c>
      <c r="S50" s="790"/>
    </row>
    <row r="51" spans="1:19" x14ac:dyDescent="0.2">
      <c r="A51" s="649">
        <f t="shared" ref="A51:A52" si="13">A50+1</f>
        <v>31</v>
      </c>
      <c r="B51" s="478" t="s">
        <v>289</v>
      </c>
      <c r="C51" s="650"/>
      <c r="D51" s="654">
        <v>0</v>
      </c>
      <c r="E51" s="654">
        <v>0</v>
      </c>
      <c r="F51" s="654">
        <v>0</v>
      </c>
      <c r="G51" s="654">
        <v>0</v>
      </c>
      <c r="H51" s="654">
        <v>0</v>
      </c>
      <c r="I51" s="654">
        <v>0</v>
      </c>
      <c r="J51" s="654">
        <v>0</v>
      </c>
      <c r="K51" s="654">
        <v>0</v>
      </c>
      <c r="L51" s="654">
        <v>0</v>
      </c>
      <c r="M51" s="654">
        <v>0</v>
      </c>
      <c r="N51" s="654">
        <v>0</v>
      </c>
      <c r="O51" s="654">
        <v>0</v>
      </c>
      <c r="P51" s="303">
        <f>SUM(D51:O51)</f>
        <v>0</v>
      </c>
      <c r="S51" s="790"/>
    </row>
    <row r="52" spans="1:19" x14ac:dyDescent="0.2">
      <c r="A52" s="649">
        <f t="shared" si="13"/>
        <v>32</v>
      </c>
      <c r="B52" s="478" t="s">
        <v>259</v>
      </c>
      <c r="C52" s="650"/>
      <c r="D52" s="498">
        <f t="shared" ref="D52:O52" si="14">SUM(D50:D51)</f>
        <v>1</v>
      </c>
      <c r="E52" s="498">
        <f t="shared" si="14"/>
        <v>1</v>
      </c>
      <c r="F52" s="498">
        <f t="shared" si="14"/>
        <v>1</v>
      </c>
      <c r="G52" s="498">
        <f t="shared" si="14"/>
        <v>1</v>
      </c>
      <c r="H52" s="498">
        <f t="shared" si="14"/>
        <v>1</v>
      </c>
      <c r="I52" s="498">
        <f t="shared" si="14"/>
        <v>1</v>
      </c>
      <c r="J52" s="498">
        <f t="shared" si="14"/>
        <v>1</v>
      </c>
      <c r="K52" s="498">
        <f t="shared" si="14"/>
        <v>1</v>
      </c>
      <c r="L52" s="498">
        <f t="shared" si="14"/>
        <v>1</v>
      </c>
      <c r="M52" s="498">
        <f t="shared" si="14"/>
        <v>1</v>
      </c>
      <c r="N52" s="498">
        <f t="shared" si="14"/>
        <v>1</v>
      </c>
      <c r="O52" s="498">
        <f t="shared" si="14"/>
        <v>1</v>
      </c>
      <c r="P52" s="652">
        <f>SUM(D52:O52)</f>
        <v>12</v>
      </c>
      <c r="S52" s="790"/>
    </row>
    <row r="53" spans="1:19" x14ac:dyDescent="0.2">
      <c r="A53" s="649"/>
      <c r="B53" s="478"/>
      <c r="C53" s="650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652"/>
      <c r="S53" s="229"/>
    </row>
    <row r="54" spans="1:19" x14ac:dyDescent="0.2">
      <c r="A54" s="980" t="s">
        <v>36</v>
      </c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</row>
    <row r="55" spans="1:19" x14ac:dyDescent="0.2">
      <c r="A55" s="980" t="s">
        <v>195</v>
      </c>
      <c r="B55" s="980"/>
      <c r="C55" s="980"/>
      <c r="D55" s="980"/>
      <c r="E55" s="980"/>
      <c r="F55" s="980"/>
      <c r="G55" s="980"/>
      <c r="H55" s="980"/>
      <c r="I55" s="980"/>
      <c r="J55" s="980"/>
      <c r="K55" s="980"/>
      <c r="L55" s="980"/>
      <c r="M55" s="980"/>
      <c r="N55" s="980"/>
      <c r="O55" s="980"/>
      <c r="P55" s="980"/>
    </row>
    <row r="56" spans="1:19" x14ac:dyDescent="0.2">
      <c r="A56" s="980" t="str">
        <f>A3</f>
        <v>For the 12 Months Ended December 31, 2017</v>
      </c>
      <c r="B56" s="980"/>
      <c r="C56" s="980"/>
      <c r="D56" s="980"/>
      <c r="E56" s="980"/>
      <c r="F56" s="980"/>
      <c r="G56" s="980"/>
      <c r="H56" s="980"/>
      <c r="I56" s="980"/>
      <c r="J56" s="980"/>
      <c r="K56" s="980"/>
      <c r="L56" s="980"/>
      <c r="M56" s="980"/>
      <c r="N56" s="980"/>
      <c r="O56" s="980"/>
      <c r="P56" s="980"/>
    </row>
    <row r="57" spans="1:19" x14ac:dyDescent="0.2">
      <c r="A57" s="301"/>
      <c r="B57" s="301"/>
      <c r="C57" s="302"/>
      <c r="D57" s="301"/>
      <c r="E57" s="302"/>
      <c r="F57" s="302"/>
      <c r="G57" s="302"/>
      <c r="H57" s="301"/>
      <c r="I57" s="301"/>
      <c r="J57" s="301"/>
      <c r="K57" s="301"/>
      <c r="L57" s="301"/>
      <c r="M57" s="301"/>
      <c r="N57" s="301"/>
      <c r="O57" s="301"/>
      <c r="P57" s="301"/>
    </row>
    <row r="58" spans="1:19" x14ac:dyDescent="0.2">
      <c r="A58" s="581" t="str">
        <f>$A$5</f>
        <v>Data: __ Base Period_X_Forecasted Period</v>
      </c>
      <c r="B58" s="301"/>
      <c r="C58" s="225"/>
      <c r="D58" s="225"/>
      <c r="E58" s="225"/>
      <c r="F58" s="225"/>
      <c r="G58" s="302"/>
      <c r="H58" s="301"/>
      <c r="I58" s="301"/>
      <c r="J58" s="301"/>
      <c r="K58" s="301"/>
      <c r="L58" s="301"/>
      <c r="M58" s="301"/>
      <c r="N58" s="301"/>
      <c r="O58" s="301"/>
      <c r="P58" s="301"/>
    </row>
    <row r="59" spans="1:19" x14ac:dyDescent="0.2">
      <c r="A59" s="581" t="str">
        <f>$A$6</f>
        <v>Type of Filing: X Original _ Update _ Revised</v>
      </c>
      <c r="B59" s="301"/>
      <c r="C59" s="225"/>
      <c r="D59" s="225"/>
      <c r="E59" s="225"/>
      <c r="F59" s="225"/>
      <c r="G59" s="302"/>
      <c r="H59" s="301"/>
      <c r="I59" s="301"/>
      <c r="J59" s="301"/>
      <c r="K59" s="301"/>
      <c r="L59" s="301"/>
      <c r="M59" s="301"/>
      <c r="N59" s="301"/>
      <c r="O59" s="301"/>
      <c r="P59" s="301"/>
    </row>
    <row r="60" spans="1:19" x14ac:dyDescent="0.2">
      <c r="A60" s="581" t="str">
        <f>$A$7</f>
        <v>Work Paper Reference No(s):</v>
      </c>
      <c r="B60" s="301"/>
      <c r="C60" s="225"/>
      <c r="D60" s="225"/>
      <c r="E60" s="225"/>
      <c r="F60" s="225"/>
      <c r="G60" s="302"/>
      <c r="H60" s="301"/>
      <c r="I60" s="301"/>
      <c r="J60" s="301"/>
      <c r="K60" s="301"/>
      <c r="L60" s="301"/>
      <c r="M60" s="301"/>
      <c r="N60" s="301"/>
      <c r="O60" s="301"/>
      <c r="P60" s="582" t="str">
        <f>$P$7</f>
        <v>Workpaper WPM-B.2</v>
      </c>
    </row>
    <row r="61" spans="1:19" x14ac:dyDescent="0.2">
      <c r="A61" s="664" t="str">
        <f>$A$8</f>
        <v>12 Months Forecasted</v>
      </c>
      <c r="B61" s="584"/>
      <c r="C61" s="225"/>
      <c r="D61" s="665"/>
      <c r="E61" s="584"/>
      <c r="F61" s="585"/>
      <c r="G61" s="586"/>
      <c r="H61" s="585"/>
      <c r="I61" s="587"/>
      <c r="J61" s="585"/>
      <c r="K61" s="585"/>
      <c r="L61" s="585"/>
      <c r="M61" s="585"/>
      <c r="N61" s="585"/>
      <c r="O61" s="585"/>
      <c r="P61" s="588" t="s">
        <v>457</v>
      </c>
      <c r="Q61" s="224"/>
      <c r="R61" s="224"/>
    </row>
    <row r="62" spans="1:19" x14ac:dyDescent="0.2">
      <c r="A62" s="649"/>
      <c r="B62" s="478"/>
      <c r="C62" s="650"/>
      <c r="D62" s="498"/>
      <c r="E62" s="498"/>
      <c r="F62" s="498"/>
      <c r="G62" s="498"/>
      <c r="H62" s="498"/>
      <c r="I62" s="498"/>
      <c r="J62" s="498"/>
      <c r="K62" s="498"/>
      <c r="L62" s="498"/>
      <c r="M62" s="498"/>
      <c r="N62" s="498"/>
      <c r="O62" s="498"/>
      <c r="P62" s="652"/>
      <c r="S62" s="229"/>
    </row>
    <row r="63" spans="1:19" x14ac:dyDescent="0.2">
      <c r="A63" s="584" t="s">
        <v>1</v>
      </c>
      <c r="B63" s="584"/>
      <c r="C63" s="225"/>
      <c r="D63" s="665"/>
      <c r="E63" s="584"/>
      <c r="F63" s="585"/>
      <c r="G63" s="586"/>
      <c r="H63" s="585"/>
      <c r="I63" s="587"/>
      <c r="J63" s="585"/>
      <c r="K63" s="585"/>
      <c r="L63" s="585"/>
      <c r="M63" s="585"/>
      <c r="N63" s="585"/>
      <c r="O63" s="585"/>
      <c r="P63" s="585"/>
      <c r="Q63" s="229"/>
      <c r="R63" s="229"/>
    </row>
    <row r="64" spans="1:19" x14ac:dyDescent="0.2">
      <c r="A64" s="227" t="s">
        <v>3</v>
      </c>
      <c r="B64" s="227" t="s">
        <v>4</v>
      </c>
      <c r="C64" s="258" t="s">
        <v>186</v>
      </c>
      <c r="D64" s="666" t="str">
        <f>$D$11</f>
        <v>Jan-17</v>
      </c>
      <c r="E64" s="666" t="str">
        <f>$E$11</f>
        <v>Feb-17</v>
      </c>
      <c r="F64" s="666" t="str">
        <f>$F$11</f>
        <v>Mar-17</v>
      </c>
      <c r="G64" s="666" t="str">
        <f>$G$11</f>
        <v>Apr-17</v>
      </c>
      <c r="H64" s="666" t="str">
        <f>$H$11</f>
        <v>May-17</v>
      </c>
      <c r="I64" s="666" t="str">
        <f>$I$11</f>
        <v>Jun-17</v>
      </c>
      <c r="J64" s="666" t="str">
        <f>$J$11</f>
        <v>Jul-17</v>
      </c>
      <c r="K64" s="666" t="str">
        <f>$K$11</f>
        <v>Aug-17</v>
      </c>
      <c r="L64" s="666" t="str">
        <f>$L$11</f>
        <v>Sep-17</v>
      </c>
      <c r="M64" s="666" t="str">
        <f>$M$11</f>
        <v>Oct-17</v>
      </c>
      <c r="N64" s="666" t="str">
        <f>$N$11</f>
        <v>Nov-17</v>
      </c>
      <c r="O64" s="666" t="str">
        <f>$O$11</f>
        <v>Dec-17</v>
      </c>
      <c r="P64" s="666" t="s">
        <v>9</v>
      </c>
      <c r="S64" s="282"/>
    </row>
    <row r="65" spans="1:19" x14ac:dyDescent="0.2">
      <c r="A65" s="584"/>
      <c r="B65" s="667" t="s">
        <v>42</v>
      </c>
      <c r="C65" s="658" t="s">
        <v>43</v>
      </c>
      <c r="D65" s="591" t="s">
        <v>45</v>
      </c>
      <c r="E65" s="591" t="s">
        <v>46</v>
      </c>
      <c r="F65" s="591" t="s">
        <v>49</v>
      </c>
      <c r="G65" s="591" t="s">
        <v>50</v>
      </c>
      <c r="H65" s="591" t="s">
        <v>51</v>
      </c>
      <c r="I65" s="591" t="s">
        <v>52</v>
      </c>
      <c r="J65" s="591" t="s">
        <v>53</v>
      </c>
      <c r="K65" s="592" t="s">
        <v>54</v>
      </c>
      <c r="L65" s="592" t="s">
        <v>55</v>
      </c>
      <c r="M65" s="592" t="s">
        <v>56</v>
      </c>
      <c r="N65" s="592" t="s">
        <v>57</v>
      </c>
      <c r="O65" s="592" t="s">
        <v>58</v>
      </c>
      <c r="P65" s="592" t="s">
        <v>59</v>
      </c>
      <c r="S65" s="229"/>
    </row>
    <row r="66" spans="1:19" x14ac:dyDescent="0.2">
      <c r="C66" s="219"/>
      <c r="E66" s="219"/>
      <c r="F66" s="219"/>
      <c r="G66" s="219"/>
      <c r="S66" s="229"/>
    </row>
    <row r="67" spans="1:19" x14ac:dyDescent="0.2">
      <c r="A67" s="649">
        <v>1</v>
      </c>
      <c r="B67" s="494" t="s">
        <v>250</v>
      </c>
      <c r="C67" s="658"/>
      <c r="D67" s="661"/>
      <c r="E67" s="661"/>
      <c r="F67" s="661"/>
      <c r="G67" s="661"/>
      <c r="H67" s="661"/>
      <c r="I67" s="661"/>
      <c r="J67" s="662"/>
      <c r="K67" s="662"/>
      <c r="L67" s="662"/>
      <c r="M67" s="662"/>
      <c r="N67" s="662"/>
      <c r="O67" s="662"/>
      <c r="P67" s="592"/>
      <c r="S67" s="229"/>
    </row>
    <row r="68" spans="1:19" x14ac:dyDescent="0.2">
      <c r="A68" s="649">
        <f>A67+1</f>
        <v>2</v>
      </c>
      <c r="B68" s="478" t="s">
        <v>288</v>
      </c>
      <c r="C68" s="650"/>
      <c r="D68" s="651">
        <v>1</v>
      </c>
      <c r="E68" s="651">
        <v>1</v>
      </c>
      <c r="F68" s="651">
        <v>1</v>
      </c>
      <c r="G68" s="651">
        <v>1</v>
      </c>
      <c r="H68" s="651">
        <v>1</v>
      </c>
      <c r="I68" s="651">
        <v>1</v>
      </c>
      <c r="J68" s="651">
        <v>1</v>
      </c>
      <c r="K68" s="651">
        <v>1</v>
      </c>
      <c r="L68" s="651">
        <v>1</v>
      </c>
      <c r="M68" s="651">
        <v>1</v>
      </c>
      <c r="N68" s="651">
        <v>1</v>
      </c>
      <c r="O68" s="651">
        <v>1</v>
      </c>
      <c r="P68" s="652">
        <f>SUM(D68:O68)</f>
        <v>12</v>
      </c>
      <c r="S68" s="229"/>
    </row>
    <row r="69" spans="1:19" x14ac:dyDescent="0.2">
      <c r="A69" s="649">
        <f t="shared" ref="A69:A70" si="15">A68+1</f>
        <v>3</v>
      </c>
      <c r="B69" s="478" t="s">
        <v>289</v>
      </c>
      <c r="C69" s="650"/>
      <c r="D69" s="654">
        <v>0</v>
      </c>
      <c r="E69" s="654">
        <v>0</v>
      </c>
      <c r="F69" s="654">
        <v>0</v>
      </c>
      <c r="G69" s="654">
        <v>0</v>
      </c>
      <c r="H69" s="654">
        <v>0</v>
      </c>
      <c r="I69" s="654">
        <v>0</v>
      </c>
      <c r="J69" s="654">
        <v>0</v>
      </c>
      <c r="K69" s="654">
        <v>0</v>
      </c>
      <c r="L69" s="654">
        <v>0</v>
      </c>
      <c r="M69" s="654">
        <v>0</v>
      </c>
      <c r="N69" s="654">
        <v>0</v>
      </c>
      <c r="O69" s="654">
        <v>0</v>
      </c>
      <c r="P69" s="303">
        <f>SUM(D69:O69)</f>
        <v>0</v>
      </c>
      <c r="S69" s="229"/>
    </row>
    <row r="70" spans="1:19" x14ac:dyDescent="0.2">
      <c r="A70" s="649">
        <f t="shared" si="15"/>
        <v>4</v>
      </c>
      <c r="B70" s="478" t="s">
        <v>259</v>
      </c>
      <c r="C70" s="650"/>
      <c r="D70" s="498">
        <f t="shared" ref="D70:O70" si="16">SUM(D68:D69)</f>
        <v>1</v>
      </c>
      <c r="E70" s="498">
        <f t="shared" si="16"/>
        <v>1</v>
      </c>
      <c r="F70" s="498">
        <f t="shared" si="16"/>
        <v>1</v>
      </c>
      <c r="G70" s="498">
        <f t="shared" si="16"/>
        <v>1</v>
      </c>
      <c r="H70" s="498">
        <f t="shared" si="16"/>
        <v>1</v>
      </c>
      <c r="I70" s="498">
        <f t="shared" si="16"/>
        <v>1</v>
      </c>
      <c r="J70" s="498">
        <f t="shared" si="16"/>
        <v>1</v>
      </c>
      <c r="K70" s="498">
        <f t="shared" si="16"/>
        <v>1</v>
      </c>
      <c r="L70" s="498">
        <f t="shared" si="16"/>
        <v>1</v>
      </c>
      <c r="M70" s="498">
        <f t="shared" si="16"/>
        <v>1</v>
      </c>
      <c r="N70" s="498">
        <f t="shared" si="16"/>
        <v>1</v>
      </c>
      <c r="O70" s="498">
        <f t="shared" si="16"/>
        <v>1</v>
      </c>
      <c r="P70" s="652">
        <f>SUM(D70:O70)</f>
        <v>12</v>
      </c>
      <c r="S70" s="229"/>
    </row>
    <row r="71" spans="1:19" x14ac:dyDescent="0.2">
      <c r="A71" s="649"/>
      <c r="B71" s="478"/>
      <c r="C71" s="650"/>
      <c r="D71" s="498"/>
      <c r="E71" s="498"/>
      <c r="F71" s="498"/>
      <c r="G71" s="498"/>
      <c r="H71" s="498"/>
      <c r="I71" s="498"/>
      <c r="J71" s="498"/>
      <c r="K71" s="498"/>
      <c r="L71" s="498"/>
      <c r="M71" s="498"/>
      <c r="N71" s="498"/>
      <c r="O71" s="498"/>
      <c r="P71" s="652"/>
      <c r="S71" s="229"/>
    </row>
    <row r="72" spans="1:19" x14ac:dyDescent="0.2">
      <c r="A72" s="649">
        <f>A70+1</f>
        <v>5</v>
      </c>
      <c r="B72" s="494" t="s">
        <v>253</v>
      </c>
      <c r="C72" s="658"/>
      <c r="D72" s="591"/>
      <c r="E72" s="591"/>
      <c r="F72" s="591"/>
      <c r="G72" s="591"/>
      <c r="H72" s="591"/>
      <c r="I72" s="591"/>
      <c r="J72" s="592"/>
      <c r="K72" s="592"/>
      <c r="L72" s="592"/>
      <c r="M72" s="592"/>
      <c r="N72" s="592"/>
      <c r="O72" s="592"/>
      <c r="P72" s="592"/>
      <c r="S72" s="229"/>
    </row>
    <row r="73" spans="1:19" x14ac:dyDescent="0.2">
      <c r="A73" s="649">
        <f>A72+1</f>
        <v>6</v>
      </c>
      <c r="B73" s="478" t="s">
        <v>288</v>
      </c>
      <c r="C73" s="650"/>
      <c r="D73" s="651">
        <v>1</v>
      </c>
      <c r="E73" s="651">
        <v>1</v>
      </c>
      <c r="F73" s="651">
        <v>1</v>
      </c>
      <c r="G73" s="651">
        <v>1</v>
      </c>
      <c r="H73" s="651">
        <v>1</v>
      </c>
      <c r="I73" s="651">
        <v>1</v>
      </c>
      <c r="J73" s="651">
        <v>1</v>
      </c>
      <c r="K73" s="651">
        <v>1</v>
      </c>
      <c r="L73" s="651">
        <v>1</v>
      </c>
      <c r="M73" s="651">
        <v>1</v>
      </c>
      <c r="N73" s="651">
        <v>1</v>
      </c>
      <c r="O73" s="651">
        <v>1</v>
      </c>
      <c r="P73" s="652">
        <f>SUM(D73:O73)</f>
        <v>12</v>
      </c>
      <c r="S73" s="229"/>
    </row>
    <row r="74" spans="1:19" x14ac:dyDescent="0.2">
      <c r="A74" s="649">
        <f t="shared" ref="A74:A75" si="17">A73+1</f>
        <v>7</v>
      </c>
      <c r="B74" s="478" t="s">
        <v>289</v>
      </c>
      <c r="C74" s="650"/>
      <c r="D74" s="654">
        <v>0</v>
      </c>
      <c r="E74" s="654">
        <v>0</v>
      </c>
      <c r="F74" s="654">
        <v>0</v>
      </c>
      <c r="G74" s="654">
        <v>0</v>
      </c>
      <c r="H74" s="654">
        <v>0</v>
      </c>
      <c r="I74" s="654">
        <v>0</v>
      </c>
      <c r="J74" s="654">
        <v>0</v>
      </c>
      <c r="K74" s="654">
        <v>0</v>
      </c>
      <c r="L74" s="654">
        <v>0</v>
      </c>
      <c r="M74" s="654">
        <v>0</v>
      </c>
      <c r="N74" s="654">
        <v>0</v>
      </c>
      <c r="O74" s="654">
        <v>0</v>
      </c>
      <c r="P74" s="303">
        <f>SUM(D74:O74)</f>
        <v>0</v>
      </c>
      <c r="S74" s="229"/>
    </row>
    <row r="75" spans="1:19" x14ac:dyDescent="0.2">
      <c r="A75" s="649">
        <f t="shared" si="17"/>
        <v>8</v>
      </c>
      <c r="B75" s="478" t="s">
        <v>259</v>
      </c>
      <c r="C75" s="650"/>
      <c r="D75" s="498">
        <f t="shared" ref="D75:O75" si="18">SUM(D73:D74)</f>
        <v>1</v>
      </c>
      <c r="E75" s="498">
        <f t="shared" si="18"/>
        <v>1</v>
      </c>
      <c r="F75" s="498">
        <f t="shared" si="18"/>
        <v>1</v>
      </c>
      <c r="G75" s="498">
        <f t="shared" si="18"/>
        <v>1</v>
      </c>
      <c r="H75" s="498">
        <f t="shared" si="18"/>
        <v>1</v>
      </c>
      <c r="I75" s="498">
        <f t="shared" si="18"/>
        <v>1</v>
      </c>
      <c r="J75" s="498">
        <f t="shared" si="18"/>
        <v>1</v>
      </c>
      <c r="K75" s="498">
        <f t="shared" si="18"/>
        <v>1</v>
      </c>
      <c r="L75" s="498">
        <f t="shared" si="18"/>
        <v>1</v>
      </c>
      <c r="M75" s="498">
        <f t="shared" si="18"/>
        <v>1</v>
      </c>
      <c r="N75" s="498">
        <f t="shared" si="18"/>
        <v>1</v>
      </c>
      <c r="O75" s="498">
        <f t="shared" si="18"/>
        <v>1</v>
      </c>
      <c r="P75" s="652">
        <f>SUM(D75:O75)</f>
        <v>12</v>
      </c>
      <c r="S75" s="229"/>
    </row>
    <row r="76" spans="1:19" x14ac:dyDescent="0.2">
      <c r="A76" s="649"/>
      <c r="B76" s="478"/>
      <c r="C76" s="650"/>
      <c r="D76" s="498"/>
      <c r="E76" s="498"/>
      <c r="F76" s="498"/>
      <c r="G76" s="498"/>
      <c r="H76" s="498"/>
      <c r="I76" s="498"/>
      <c r="J76" s="498"/>
      <c r="K76" s="498"/>
      <c r="L76" s="498"/>
      <c r="M76" s="498"/>
      <c r="N76" s="498"/>
      <c r="O76" s="498"/>
      <c r="P76" s="652"/>
      <c r="S76" s="229"/>
    </row>
    <row r="77" spans="1:19" x14ac:dyDescent="0.2">
      <c r="A77" s="649">
        <f>A75+1</f>
        <v>9</v>
      </c>
      <c r="B77" s="494" t="s">
        <v>254</v>
      </c>
      <c r="C77" s="658"/>
      <c r="D77" s="661"/>
      <c r="E77" s="661"/>
      <c r="F77" s="661"/>
      <c r="G77" s="661"/>
      <c r="H77" s="661"/>
      <c r="I77" s="661"/>
      <c r="J77" s="662"/>
      <c r="K77" s="662"/>
      <c r="L77" s="662"/>
      <c r="M77" s="662"/>
      <c r="N77" s="662"/>
      <c r="O77" s="662"/>
      <c r="P77" s="592"/>
      <c r="S77" s="229"/>
    </row>
    <row r="78" spans="1:19" x14ac:dyDescent="0.2">
      <c r="A78" s="649">
        <f>A77+1</f>
        <v>10</v>
      </c>
      <c r="B78" s="478" t="s">
        <v>288</v>
      </c>
      <c r="C78" s="650"/>
      <c r="D78" s="651">
        <v>10117</v>
      </c>
      <c r="E78" s="651">
        <v>10204</v>
      </c>
      <c r="F78" s="651">
        <v>9951</v>
      </c>
      <c r="G78" s="651">
        <v>9865</v>
      </c>
      <c r="H78" s="651">
        <v>9776</v>
      </c>
      <c r="I78" s="651">
        <v>9693</v>
      </c>
      <c r="J78" s="651">
        <v>9709</v>
      </c>
      <c r="K78" s="651">
        <v>9679</v>
      </c>
      <c r="L78" s="651">
        <v>9669</v>
      </c>
      <c r="M78" s="651">
        <v>9703</v>
      </c>
      <c r="N78" s="651">
        <v>9851</v>
      </c>
      <c r="O78" s="651">
        <v>10019</v>
      </c>
      <c r="P78" s="652">
        <f>SUM(D78:O78)</f>
        <v>118236</v>
      </c>
      <c r="S78" s="229"/>
    </row>
    <row r="79" spans="1:19" x14ac:dyDescent="0.2">
      <c r="A79" s="649">
        <f t="shared" ref="A79:A80" si="19">A78+1</f>
        <v>11</v>
      </c>
      <c r="B79" s="478" t="s">
        <v>244</v>
      </c>
      <c r="C79" s="650" t="s">
        <v>363</v>
      </c>
      <c r="D79" s="498">
        <f>'D pg 1'!D16</f>
        <v>-1</v>
      </c>
      <c r="E79" s="498">
        <f>'D pg 1'!E16</f>
        <v>-1</v>
      </c>
      <c r="F79" s="498">
        <f>'D pg 1'!F16</f>
        <v>-1</v>
      </c>
      <c r="G79" s="498">
        <f>'D pg 1'!G16</f>
        <v>-1</v>
      </c>
      <c r="H79" s="498">
        <f>'D pg 1'!H16</f>
        <v>-1</v>
      </c>
      <c r="I79" s="498">
        <f>'D pg 1'!I16</f>
        <v>-1</v>
      </c>
      <c r="J79" s="498">
        <f>'D pg 1'!J16</f>
        <v>-1</v>
      </c>
      <c r="K79" s="498">
        <f>'D pg 1'!K16</f>
        <v>-1</v>
      </c>
      <c r="L79" s="498">
        <f>'D pg 1'!L16</f>
        <v>-1</v>
      </c>
      <c r="M79" s="498">
        <f>'D pg 1'!M16</f>
        <v>-1</v>
      </c>
      <c r="N79" s="498">
        <f>'D pg 1'!N16</f>
        <v>-1</v>
      </c>
      <c r="O79" s="498">
        <f>'D pg 1'!O16</f>
        <v>-1</v>
      </c>
      <c r="P79" s="652">
        <f>SUM(D79:O79)</f>
        <v>-12</v>
      </c>
      <c r="S79" s="790"/>
    </row>
    <row r="80" spans="1:19" x14ac:dyDescent="0.2">
      <c r="A80" s="649">
        <f t="shared" si="19"/>
        <v>12</v>
      </c>
      <c r="B80" s="478" t="s">
        <v>289</v>
      </c>
      <c r="C80" s="650"/>
      <c r="D80" s="654">
        <v>91</v>
      </c>
      <c r="E80" s="654">
        <v>68</v>
      </c>
      <c r="F80" s="654">
        <v>85</v>
      </c>
      <c r="G80" s="654">
        <v>139</v>
      </c>
      <c r="H80" s="654">
        <v>107</v>
      </c>
      <c r="I80" s="654">
        <v>88</v>
      </c>
      <c r="J80" s="654">
        <v>75</v>
      </c>
      <c r="K80" s="654">
        <v>92</v>
      </c>
      <c r="L80" s="654">
        <v>71</v>
      </c>
      <c r="M80" s="654">
        <v>70</v>
      </c>
      <c r="N80" s="654">
        <v>65</v>
      </c>
      <c r="O80" s="654">
        <v>58</v>
      </c>
      <c r="P80" s="303">
        <f>SUM(D80:O80)</f>
        <v>1009</v>
      </c>
      <c r="S80" s="229"/>
    </row>
    <row r="81" spans="1:19" x14ac:dyDescent="0.2">
      <c r="A81" s="649">
        <f t="shared" ref="A81" si="20">A80+1</f>
        <v>13</v>
      </c>
      <c r="B81" s="478" t="s">
        <v>259</v>
      </c>
      <c r="C81" s="650"/>
      <c r="D81" s="498">
        <f t="shared" ref="D81:O81" si="21">SUM(D78:D80)</f>
        <v>10207</v>
      </c>
      <c r="E81" s="498">
        <f t="shared" si="21"/>
        <v>10271</v>
      </c>
      <c r="F81" s="498">
        <f t="shared" si="21"/>
        <v>10035</v>
      </c>
      <c r="G81" s="498">
        <f t="shared" si="21"/>
        <v>10003</v>
      </c>
      <c r="H81" s="498">
        <f t="shared" si="21"/>
        <v>9882</v>
      </c>
      <c r="I81" s="498">
        <f t="shared" si="21"/>
        <v>9780</v>
      </c>
      <c r="J81" s="498">
        <f t="shared" si="21"/>
        <v>9783</v>
      </c>
      <c r="K81" s="498">
        <f t="shared" si="21"/>
        <v>9770</v>
      </c>
      <c r="L81" s="498">
        <f t="shared" si="21"/>
        <v>9739</v>
      </c>
      <c r="M81" s="498">
        <f t="shared" si="21"/>
        <v>9772</v>
      </c>
      <c r="N81" s="498">
        <f t="shared" si="21"/>
        <v>9915</v>
      </c>
      <c r="O81" s="498">
        <f t="shared" si="21"/>
        <v>10076</v>
      </c>
      <c r="P81" s="652">
        <f>SUM(D81:O81)</f>
        <v>119233</v>
      </c>
      <c r="Q81" s="505"/>
      <c r="S81" s="229"/>
    </row>
    <row r="82" spans="1:19" x14ac:dyDescent="0.2">
      <c r="A82" s="649"/>
      <c r="B82" s="478"/>
      <c r="C82" s="650"/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652"/>
      <c r="S82" s="229"/>
    </row>
    <row r="83" spans="1:19" x14ac:dyDescent="0.2">
      <c r="A83" s="649">
        <f>A81+1</f>
        <v>14</v>
      </c>
      <c r="B83" s="494" t="s">
        <v>264</v>
      </c>
      <c r="C83" s="658"/>
      <c r="D83" s="661"/>
      <c r="E83" s="661"/>
      <c r="F83" s="661"/>
      <c r="G83" s="661"/>
      <c r="H83" s="661"/>
      <c r="I83" s="661"/>
      <c r="J83" s="662"/>
      <c r="K83" s="662"/>
      <c r="L83" s="662"/>
      <c r="M83" s="662"/>
      <c r="N83" s="662"/>
      <c r="O83" s="662"/>
      <c r="P83" s="592"/>
      <c r="S83" s="229"/>
    </row>
    <row r="84" spans="1:19" x14ac:dyDescent="0.2">
      <c r="A84" s="649">
        <f>A83+1</f>
        <v>15</v>
      </c>
      <c r="B84" s="478" t="s">
        <v>288</v>
      </c>
      <c r="C84" s="650"/>
      <c r="D84" s="651">
        <v>41</v>
      </c>
      <c r="E84" s="651">
        <v>41</v>
      </c>
      <c r="F84" s="651">
        <v>41</v>
      </c>
      <c r="G84" s="651">
        <v>41</v>
      </c>
      <c r="H84" s="651">
        <v>41</v>
      </c>
      <c r="I84" s="651">
        <v>41</v>
      </c>
      <c r="J84" s="651">
        <v>41</v>
      </c>
      <c r="K84" s="651">
        <v>41</v>
      </c>
      <c r="L84" s="651">
        <v>41</v>
      </c>
      <c r="M84" s="651">
        <v>41</v>
      </c>
      <c r="N84" s="651">
        <v>41</v>
      </c>
      <c r="O84" s="651">
        <v>41</v>
      </c>
      <c r="P84" s="652">
        <f>SUM(D84:O84)</f>
        <v>492</v>
      </c>
      <c r="S84" s="229"/>
    </row>
    <row r="85" spans="1:19" x14ac:dyDescent="0.2">
      <c r="A85" s="649">
        <f>A84+1</f>
        <v>16</v>
      </c>
      <c r="B85" s="478" t="s">
        <v>244</v>
      </c>
      <c r="C85" s="650" t="s">
        <v>363</v>
      </c>
      <c r="D85" s="304">
        <f>'D pg 1'!D17</f>
        <v>2</v>
      </c>
      <c r="E85" s="304">
        <f>'D pg 1'!E17</f>
        <v>2</v>
      </c>
      <c r="F85" s="304">
        <f>'D pg 1'!F17</f>
        <v>2</v>
      </c>
      <c r="G85" s="304">
        <f>'D pg 1'!G17</f>
        <v>2</v>
      </c>
      <c r="H85" s="304">
        <f>'D pg 1'!H17</f>
        <v>2</v>
      </c>
      <c r="I85" s="304">
        <f>'D pg 1'!I17</f>
        <v>2</v>
      </c>
      <c r="J85" s="304">
        <f>'D pg 1'!J17</f>
        <v>3</v>
      </c>
      <c r="K85" s="304">
        <f>'D pg 1'!K17</f>
        <v>3</v>
      </c>
      <c r="L85" s="304">
        <f>'D pg 1'!L17</f>
        <v>3</v>
      </c>
      <c r="M85" s="304">
        <f>'D pg 1'!M17</f>
        <v>3</v>
      </c>
      <c r="N85" s="304">
        <f>'D pg 1'!N17</f>
        <v>3</v>
      </c>
      <c r="O85" s="304">
        <f>'D pg 1'!O17</f>
        <v>3</v>
      </c>
      <c r="P85" s="304">
        <f>SUM(D85:O85)</f>
        <v>30</v>
      </c>
      <c r="S85" s="229"/>
    </row>
    <row r="86" spans="1:19" x14ac:dyDescent="0.2">
      <c r="A86" s="649">
        <f>A85+1</f>
        <v>17</v>
      </c>
      <c r="B86" s="478" t="s">
        <v>289</v>
      </c>
      <c r="C86" s="650"/>
      <c r="D86" s="654">
        <v>0</v>
      </c>
      <c r="E86" s="654">
        <v>0</v>
      </c>
      <c r="F86" s="654">
        <v>0</v>
      </c>
      <c r="G86" s="654">
        <v>0</v>
      </c>
      <c r="H86" s="654">
        <v>0</v>
      </c>
      <c r="I86" s="654">
        <v>1</v>
      </c>
      <c r="J86" s="654">
        <v>0</v>
      </c>
      <c r="K86" s="654">
        <v>1</v>
      </c>
      <c r="L86" s="654">
        <v>0</v>
      </c>
      <c r="M86" s="654">
        <v>0</v>
      </c>
      <c r="N86" s="654">
        <v>0</v>
      </c>
      <c r="O86" s="654">
        <v>0</v>
      </c>
      <c r="P86" s="303">
        <f>SUM(D86:O86)</f>
        <v>2</v>
      </c>
      <c r="S86" s="229"/>
    </row>
    <row r="87" spans="1:19" x14ac:dyDescent="0.2">
      <c r="A87" s="649">
        <f>A86+1</f>
        <v>18</v>
      </c>
      <c r="B87" s="478" t="s">
        <v>259</v>
      </c>
      <c r="C87" s="650"/>
      <c r="D87" s="498">
        <f t="shared" ref="D87:O87" si="22">SUM(D84:D86)</f>
        <v>43</v>
      </c>
      <c r="E87" s="498">
        <f t="shared" si="22"/>
        <v>43</v>
      </c>
      <c r="F87" s="498">
        <f t="shared" si="22"/>
        <v>43</v>
      </c>
      <c r="G87" s="498">
        <f t="shared" si="22"/>
        <v>43</v>
      </c>
      <c r="H87" s="498">
        <f t="shared" si="22"/>
        <v>43</v>
      </c>
      <c r="I87" s="498">
        <f t="shared" si="22"/>
        <v>44</v>
      </c>
      <c r="J87" s="498">
        <f t="shared" si="22"/>
        <v>44</v>
      </c>
      <c r="K87" s="498">
        <f t="shared" si="22"/>
        <v>45</v>
      </c>
      <c r="L87" s="498">
        <f t="shared" si="22"/>
        <v>44</v>
      </c>
      <c r="M87" s="498">
        <f t="shared" si="22"/>
        <v>44</v>
      </c>
      <c r="N87" s="498">
        <f t="shared" si="22"/>
        <v>44</v>
      </c>
      <c r="O87" s="498">
        <f t="shared" si="22"/>
        <v>44</v>
      </c>
      <c r="P87" s="652">
        <f>SUM(D87:O87)</f>
        <v>524</v>
      </c>
      <c r="S87" s="229"/>
    </row>
    <row r="88" spans="1:19" x14ac:dyDescent="0.2">
      <c r="A88" s="649"/>
      <c r="B88" s="478"/>
      <c r="C88" s="650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652"/>
      <c r="S88" s="790"/>
    </row>
    <row r="89" spans="1:19" x14ac:dyDescent="0.2">
      <c r="A89" s="649">
        <f>A87+1</f>
        <v>19</v>
      </c>
      <c r="B89" s="494" t="s">
        <v>283</v>
      </c>
      <c r="C89" s="658"/>
      <c r="D89" s="591"/>
      <c r="E89" s="591"/>
      <c r="F89" s="591"/>
      <c r="G89" s="591"/>
      <c r="H89" s="591"/>
      <c r="I89" s="591"/>
      <c r="J89" s="592"/>
      <c r="K89" s="592"/>
      <c r="L89" s="592"/>
      <c r="M89" s="592"/>
      <c r="N89" s="592"/>
      <c r="O89" s="592"/>
      <c r="P89" s="592"/>
      <c r="S89" s="790"/>
    </row>
    <row r="90" spans="1:19" x14ac:dyDescent="0.2">
      <c r="A90" s="649">
        <f>A89+1</f>
        <v>20</v>
      </c>
      <c r="B90" s="478" t="s">
        <v>288</v>
      </c>
      <c r="C90" s="650"/>
      <c r="D90" s="653">
        <v>0</v>
      </c>
      <c r="E90" s="653">
        <v>0</v>
      </c>
      <c r="F90" s="653">
        <v>0</v>
      </c>
      <c r="G90" s="653">
        <v>0</v>
      </c>
      <c r="H90" s="653">
        <v>0</v>
      </c>
      <c r="I90" s="653">
        <v>0</v>
      </c>
      <c r="J90" s="653">
        <v>0</v>
      </c>
      <c r="K90" s="653">
        <v>0</v>
      </c>
      <c r="L90" s="653">
        <v>0</v>
      </c>
      <c r="M90" s="653">
        <v>0</v>
      </c>
      <c r="N90" s="653">
        <v>0</v>
      </c>
      <c r="O90" s="653">
        <v>0</v>
      </c>
      <c r="P90" s="304">
        <f>SUM(D90:O90)</f>
        <v>0</v>
      </c>
      <c r="S90" s="790"/>
    </row>
    <row r="91" spans="1:19" x14ac:dyDescent="0.2">
      <c r="A91" s="649">
        <f>A90+1</f>
        <v>21</v>
      </c>
      <c r="B91" s="478" t="s">
        <v>244</v>
      </c>
      <c r="C91" s="650" t="s">
        <v>363</v>
      </c>
      <c r="D91" s="653">
        <v>0</v>
      </c>
      <c r="E91" s="653">
        <v>0</v>
      </c>
      <c r="F91" s="653">
        <v>0</v>
      </c>
      <c r="G91" s="653">
        <v>0</v>
      </c>
      <c r="H91" s="653">
        <v>0</v>
      </c>
      <c r="I91" s="653">
        <v>0</v>
      </c>
      <c r="J91" s="653">
        <v>0</v>
      </c>
      <c r="K91" s="653">
        <v>0</v>
      </c>
      <c r="L91" s="653">
        <v>0</v>
      </c>
      <c r="M91" s="653">
        <v>0</v>
      </c>
      <c r="N91" s="653">
        <v>0</v>
      </c>
      <c r="O91" s="653">
        <v>0</v>
      </c>
      <c r="P91" s="304">
        <f>SUM(D91:O91)</f>
        <v>0</v>
      </c>
      <c r="S91" s="790"/>
    </row>
    <row r="92" spans="1:19" x14ac:dyDescent="0.2">
      <c r="A92" s="649">
        <f>A91+1</f>
        <v>22</v>
      </c>
      <c r="B92" s="478" t="s">
        <v>289</v>
      </c>
      <c r="C92" s="650"/>
      <c r="D92" s="654">
        <v>0</v>
      </c>
      <c r="E92" s="654">
        <v>0</v>
      </c>
      <c r="F92" s="654">
        <v>0</v>
      </c>
      <c r="G92" s="654">
        <v>0</v>
      </c>
      <c r="H92" s="654">
        <v>0</v>
      </c>
      <c r="I92" s="654">
        <v>0</v>
      </c>
      <c r="J92" s="654">
        <v>0</v>
      </c>
      <c r="K92" s="654">
        <v>0</v>
      </c>
      <c r="L92" s="654">
        <v>0</v>
      </c>
      <c r="M92" s="654">
        <v>0</v>
      </c>
      <c r="N92" s="654">
        <v>0</v>
      </c>
      <c r="O92" s="654">
        <v>0</v>
      </c>
      <c r="P92" s="303">
        <f>SUM(D92:O92)</f>
        <v>0</v>
      </c>
      <c r="S92" s="790"/>
    </row>
    <row r="93" spans="1:19" x14ac:dyDescent="0.2">
      <c r="A93" s="649">
        <f>A92+1</f>
        <v>23</v>
      </c>
      <c r="B93" s="478" t="s">
        <v>259</v>
      </c>
      <c r="C93" s="650"/>
      <c r="D93" s="304">
        <f t="shared" ref="D93:O93" si="23">SUM(D90:D92)</f>
        <v>0</v>
      </c>
      <c r="E93" s="304">
        <f t="shared" si="23"/>
        <v>0</v>
      </c>
      <c r="F93" s="304">
        <f t="shared" si="23"/>
        <v>0</v>
      </c>
      <c r="G93" s="304">
        <f t="shared" si="23"/>
        <v>0</v>
      </c>
      <c r="H93" s="304">
        <f t="shared" si="23"/>
        <v>0</v>
      </c>
      <c r="I93" s="304">
        <f t="shared" si="23"/>
        <v>0</v>
      </c>
      <c r="J93" s="304">
        <f t="shared" si="23"/>
        <v>0</v>
      </c>
      <c r="K93" s="304">
        <f t="shared" si="23"/>
        <v>0</v>
      </c>
      <c r="L93" s="304">
        <f t="shared" si="23"/>
        <v>0</v>
      </c>
      <c r="M93" s="304">
        <f t="shared" si="23"/>
        <v>0</v>
      </c>
      <c r="N93" s="304">
        <f t="shared" si="23"/>
        <v>0</v>
      </c>
      <c r="O93" s="304">
        <f t="shared" si="23"/>
        <v>0</v>
      </c>
      <c r="P93" s="304">
        <f>SUM(D93:O93)</f>
        <v>0</v>
      </c>
      <c r="S93" s="790"/>
    </row>
    <row r="94" spans="1:19" x14ac:dyDescent="0.2">
      <c r="A94" s="649"/>
      <c r="B94" s="478"/>
      <c r="C94" s="650"/>
      <c r="D94" s="498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652"/>
      <c r="S94" s="229"/>
    </row>
    <row r="95" spans="1:19" x14ac:dyDescent="0.2">
      <c r="A95" s="649">
        <f>A93+1</f>
        <v>24</v>
      </c>
      <c r="B95" s="494" t="s">
        <v>265</v>
      </c>
      <c r="C95" s="658"/>
      <c r="D95" s="661"/>
      <c r="E95" s="661"/>
      <c r="F95" s="661"/>
      <c r="G95" s="661"/>
      <c r="H95" s="661"/>
      <c r="I95" s="661"/>
      <c r="J95" s="662"/>
      <c r="K95" s="662"/>
      <c r="L95" s="662"/>
      <c r="M95" s="662"/>
      <c r="N95" s="662"/>
      <c r="O95" s="662"/>
      <c r="P95" s="592"/>
      <c r="S95" s="790"/>
    </row>
    <row r="96" spans="1:19" x14ac:dyDescent="0.2">
      <c r="A96" s="649">
        <f>A95+1</f>
        <v>25</v>
      </c>
      <c r="B96" s="478" t="s">
        <v>288</v>
      </c>
      <c r="C96" s="650"/>
      <c r="D96" s="651">
        <v>2</v>
      </c>
      <c r="E96" s="651">
        <v>2</v>
      </c>
      <c r="F96" s="651">
        <v>2</v>
      </c>
      <c r="G96" s="651">
        <v>2</v>
      </c>
      <c r="H96" s="651">
        <v>2</v>
      </c>
      <c r="I96" s="651">
        <v>2</v>
      </c>
      <c r="J96" s="651">
        <v>2</v>
      </c>
      <c r="K96" s="651">
        <v>2</v>
      </c>
      <c r="L96" s="651">
        <v>2</v>
      </c>
      <c r="M96" s="651">
        <v>2</v>
      </c>
      <c r="N96" s="651">
        <v>2</v>
      </c>
      <c r="O96" s="651">
        <v>2</v>
      </c>
      <c r="P96" s="304">
        <f>SUM(D96:O96)</f>
        <v>24</v>
      </c>
      <c r="S96" s="790"/>
    </row>
    <row r="97" spans="1:19" x14ac:dyDescent="0.2">
      <c r="A97" s="649">
        <f>A96+1</f>
        <v>26</v>
      </c>
      <c r="B97" s="478" t="s">
        <v>244</v>
      </c>
      <c r="C97" s="650" t="s">
        <v>363</v>
      </c>
      <c r="D97" s="653">
        <v>0</v>
      </c>
      <c r="E97" s="653">
        <v>0</v>
      </c>
      <c r="F97" s="653">
        <v>0</v>
      </c>
      <c r="G97" s="653">
        <v>0</v>
      </c>
      <c r="H97" s="653">
        <v>0</v>
      </c>
      <c r="I97" s="653">
        <v>0</v>
      </c>
      <c r="J97" s="653">
        <v>0</v>
      </c>
      <c r="K97" s="653">
        <v>0</v>
      </c>
      <c r="L97" s="653">
        <v>0</v>
      </c>
      <c r="M97" s="653">
        <v>0</v>
      </c>
      <c r="N97" s="653">
        <v>0</v>
      </c>
      <c r="O97" s="653">
        <v>0</v>
      </c>
      <c r="P97" s="304">
        <f>SUM(D97:O97)</f>
        <v>0</v>
      </c>
      <c r="S97" s="790"/>
    </row>
    <row r="98" spans="1:19" x14ac:dyDescent="0.2">
      <c r="A98" s="649">
        <f>A97+1</f>
        <v>27</v>
      </c>
      <c r="B98" s="478" t="s">
        <v>289</v>
      </c>
      <c r="C98" s="650"/>
      <c r="D98" s="654">
        <v>0</v>
      </c>
      <c r="E98" s="654">
        <v>0</v>
      </c>
      <c r="F98" s="654">
        <v>0</v>
      </c>
      <c r="G98" s="654">
        <v>0</v>
      </c>
      <c r="H98" s="654">
        <v>0</v>
      </c>
      <c r="I98" s="654">
        <v>0</v>
      </c>
      <c r="J98" s="654">
        <v>0</v>
      </c>
      <c r="K98" s="654">
        <v>0</v>
      </c>
      <c r="L98" s="654">
        <v>0</v>
      </c>
      <c r="M98" s="654">
        <v>0</v>
      </c>
      <c r="N98" s="654">
        <v>0</v>
      </c>
      <c r="O98" s="654">
        <v>0</v>
      </c>
      <c r="P98" s="303">
        <f>SUM(D98:O98)</f>
        <v>0</v>
      </c>
      <c r="S98" s="229"/>
    </row>
    <row r="99" spans="1:19" x14ac:dyDescent="0.2">
      <c r="A99" s="649">
        <f>A98+1</f>
        <v>28</v>
      </c>
      <c r="B99" s="478" t="s">
        <v>259</v>
      </c>
      <c r="C99" s="650"/>
      <c r="D99" s="498">
        <f t="shared" ref="D99:O99" si="24">SUM(D96:D98)</f>
        <v>2</v>
      </c>
      <c r="E99" s="498">
        <f t="shared" si="24"/>
        <v>2</v>
      </c>
      <c r="F99" s="498">
        <f t="shared" si="24"/>
        <v>2</v>
      </c>
      <c r="G99" s="498">
        <f t="shared" si="24"/>
        <v>2</v>
      </c>
      <c r="H99" s="498">
        <f t="shared" si="24"/>
        <v>2</v>
      </c>
      <c r="I99" s="498">
        <f t="shared" si="24"/>
        <v>2</v>
      </c>
      <c r="J99" s="498">
        <f t="shared" si="24"/>
        <v>2</v>
      </c>
      <c r="K99" s="498">
        <f t="shared" si="24"/>
        <v>2</v>
      </c>
      <c r="L99" s="498">
        <f t="shared" si="24"/>
        <v>2</v>
      </c>
      <c r="M99" s="498">
        <f t="shared" si="24"/>
        <v>2</v>
      </c>
      <c r="N99" s="498">
        <f t="shared" si="24"/>
        <v>2</v>
      </c>
      <c r="O99" s="498">
        <f t="shared" si="24"/>
        <v>2</v>
      </c>
      <c r="P99" s="304">
        <f>SUM(D99:O99)</f>
        <v>24</v>
      </c>
      <c r="S99" s="229"/>
    </row>
    <row r="100" spans="1:19" x14ac:dyDescent="0.2">
      <c r="C100" s="219"/>
      <c r="E100" s="219"/>
      <c r="F100" s="219"/>
      <c r="G100" s="219"/>
      <c r="S100" s="229"/>
    </row>
    <row r="101" spans="1:19" x14ac:dyDescent="0.2">
      <c r="C101" s="219"/>
      <c r="E101" s="219"/>
      <c r="F101" s="219"/>
      <c r="G101" s="219"/>
      <c r="S101" s="229"/>
    </row>
    <row r="102" spans="1:19" x14ac:dyDescent="0.2">
      <c r="C102" s="219"/>
      <c r="E102" s="219"/>
      <c r="F102" s="219"/>
      <c r="G102" s="219"/>
      <c r="S102" s="229"/>
    </row>
    <row r="103" spans="1:19" ht="13.95" customHeight="1" x14ac:dyDescent="0.2">
      <c r="A103" s="649"/>
      <c r="B103" s="478"/>
      <c r="C103" s="650"/>
      <c r="D103" s="498"/>
      <c r="E103" s="498"/>
      <c r="F103" s="498"/>
      <c r="G103" s="498"/>
      <c r="H103" s="498"/>
      <c r="I103" s="498"/>
      <c r="J103" s="498"/>
      <c r="K103" s="498"/>
      <c r="L103" s="498"/>
      <c r="M103" s="498"/>
      <c r="N103" s="498"/>
      <c r="O103" s="498"/>
      <c r="P103" s="652"/>
      <c r="S103" s="229"/>
    </row>
    <row r="104" spans="1:19" x14ac:dyDescent="0.2">
      <c r="A104" s="980" t="s">
        <v>36</v>
      </c>
      <c r="B104" s="980"/>
      <c r="C104" s="980"/>
      <c r="D104" s="980"/>
      <c r="E104" s="980"/>
      <c r="F104" s="980"/>
      <c r="G104" s="980"/>
      <c r="H104" s="980"/>
      <c r="I104" s="980"/>
      <c r="J104" s="980"/>
      <c r="K104" s="980"/>
      <c r="L104" s="980"/>
      <c r="M104" s="980"/>
      <c r="N104" s="980"/>
      <c r="O104" s="980"/>
      <c r="P104" s="980"/>
    </row>
    <row r="105" spans="1:19" x14ac:dyDescent="0.2">
      <c r="A105" s="980" t="s">
        <v>195</v>
      </c>
      <c r="B105" s="980"/>
      <c r="C105" s="980"/>
      <c r="D105" s="980"/>
      <c r="E105" s="980"/>
      <c r="F105" s="980"/>
      <c r="G105" s="980"/>
      <c r="H105" s="980"/>
      <c r="I105" s="980"/>
      <c r="J105" s="980"/>
      <c r="K105" s="980"/>
      <c r="L105" s="980"/>
      <c r="M105" s="980"/>
      <c r="N105" s="980"/>
      <c r="O105" s="980"/>
      <c r="P105" s="980"/>
    </row>
    <row r="106" spans="1:19" x14ac:dyDescent="0.2">
      <c r="A106" s="980" t="str">
        <f>A3</f>
        <v>For the 12 Months Ended December 31, 2017</v>
      </c>
      <c r="B106" s="980"/>
      <c r="C106" s="980"/>
      <c r="D106" s="980"/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</row>
    <row r="107" spans="1:19" x14ac:dyDescent="0.2">
      <c r="A107" s="301"/>
      <c r="B107" s="301"/>
      <c r="C107" s="302"/>
      <c r="D107" s="301"/>
      <c r="E107" s="302"/>
      <c r="F107" s="302"/>
      <c r="G107" s="302"/>
      <c r="H107" s="301"/>
      <c r="I107" s="301"/>
      <c r="J107" s="301"/>
      <c r="K107" s="301"/>
      <c r="L107" s="301"/>
      <c r="M107" s="301"/>
      <c r="N107" s="301"/>
      <c r="O107" s="301"/>
      <c r="P107" s="301"/>
    </row>
    <row r="108" spans="1:19" x14ac:dyDescent="0.2">
      <c r="A108" s="581" t="str">
        <f>$A$5</f>
        <v>Data: __ Base Period_X_Forecasted Period</v>
      </c>
      <c r="B108" s="301"/>
      <c r="C108" s="225"/>
      <c r="D108" s="225"/>
      <c r="E108" s="225"/>
      <c r="F108" s="225"/>
      <c r="G108" s="302"/>
      <c r="H108" s="301"/>
      <c r="I108" s="301"/>
      <c r="J108" s="301"/>
      <c r="K108" s="301"/>
      <c r="L108" s="301"/>
      <c r="M108" s="301"/>
      <c r="N108" s="301"/>
      <c r="O108" s="301"/>
      <c r="P108" s="301"/>
    </row>
    <row r="109" spans="1:19" x14ac:dyDescent="0.2">
      <c r="A109" s="581" t="str">
        <f>$A$6</f>
        <v>Type of Filing: X Original _ Update _ Revised</v>
      </c>
      <c r="B109" s="301"/>
      <c r="C109" s="225"/>
      <c r="D109" s="225"/>
      <c r="E109" s="225"/>
      <c r="F109" s="225"/>
      <c r="G109" s="302"/>
      <c r="H109" s="301"/>
      <c r="I109" s="301"/>
      <c r="J109" s="301"/>
      <c r="K109" s="301"/>
      <c r="L109" s="301"/>
      <c r="M109" s="301"/>
      <c r="N109" s="301"/>
      <c r="O109" s="301"/>
      <c r="P109" s="301"/>
    </row>
    <row r="110" spans="1:19" x14ac:dyDescent="0.2">
      <c r="A110" s="581" t="str">
        <f>$A$7</f>
        <v>Work Paper Reference No(s):</v>
      </c>
      <c r="B110" s="301"/>
      <c r="C110" s="225"/>
      <c r="D110" s="225"/>
      <c r="E110" s="225"/>
      <c r="F110" s="225"/>
      <c r="G110" s="302"/>
      <c r="H110" s="301"/>
      <c r="I110" s="301"/>
      <c r="J110" s="301"/>
      <c r="K110" s="301"/>
      <c r="L110" s="301"/>
      <c r="M110" s="301"/>
      <c r="N110" s="301"/>
      <c r="O110" s="301"/>
      <c r="P110" s="582" t="str">
        <f>$P$7</f>
        <v>Workpaper WPM-B.2</v>
      </c>
    </row>
    <row r="111" spans="1:19" x14ac:dyDescent="0.2">
      <c r="A111" s="664" t="str">
        <f>$A$8</f>
        <v>12 Months Forecasted</v>
      </c>
      <c r="B111" s="584"/>
      <c r="C111" s="225"/>
      <c r="D111" s="665"/>
      <c r="E111" s="584"/>
      <c r="F111" s="585"/>
      <c r="G111" s="586"/>
      <c r="H111" s="585"/>
      <c r="I111" s="587"/>
      <c r="J111" s="585"/>
      <c r="K111" s="585"/>
      <c r="L111" s="585"/>
      <c r="M111" s="585"/>
      <c r="N111" s="585"/>
      <c r="O111" s="585"/>
      <c r="P111" s="588" t="s">
        <v>458</v>
      </c>
      <c r="Q111" s="224"/>
      <c r="R111" s="224"/>
    </row>
    <row r="112" spans="1:19" x14ac:dyDescent="0.2">
      <c r="A112" s="649"/>
      <c r="B112" s="478"/>
      <c r="C112" s="650"/>
      <c r="D112" s="498"/>
      <c r="E112" s="498"/>
      <c r="F112" s="498"/>
      <c r="G112" s="498"/>
      <c r="H112" s="498"/>
      <c r="I112" s="498"/>
      <c r="J112" s="498"/>
      <c r="K112" s="498"/>
      <c r="L112" s="498"/>
      <c r="M112" s="498"/>
      <c r="N112" s="498"/>
      <c r="O112" s="498"/>
      <c r="P112" s="652"/>
      <c r="S112" s="229"/>
    </row>
    <row r="113" spans="1:19" x14ac:dyDescent="0.2">
      <c r="A113" s="584" t="s">
        <v>1</v>
      </c>
      <c r="B113" s="584"/>
      <c r="C113" s="225"/>
      <c r="D113" s="665"/>
      <c r="E113" s="584"/>
      <c r="F113" s="585"/>
      <c r="G113" s="586"/>
      <c r="H113" s="585"/>
      <c r="I113" s="587"/>
      <c r="J113" s="585"/>
      <c r="K113" s="585"/>
      <c r="L113" s="585"/>
      <c r="M113" s="585"/>
      <c r="N113" s="585"/>
      <c r="O113" s="585"/>
      <c r="P113" s="585"/>
      <c r="Q113" s="229"/>
      <c r="R113" s="229"/>
    </row>
    <row r="114" spans="1:19" x14ac:dyDescent="0.2">
      <c r="A114" s="227" t="s">
        <v>3</v>
      </c>
      <c r="B114" s="227" t="s">
        <v>4</v>
      </c>
      <c r="C114" s="258" t="s">
        <v>186</v>
      </c>
      <c r="D114" s="666" t="str">
        <f>$D$11</f>
        <v>Jan-17</v>
      </c>
      <c r="E114" s="666" t="str">
        <f>$E$11</f>
        <v>Feb-17</v>
      </c>
      <c r="F114" s="666" t="str">
        <f>$F$11</f>
        <v>Mar-17</v>
      </c>
      <c r="G114" s="666" t="str">
        <f>$G$11</f>
        <v>Apr-17</v>
      </c>
      <c r="H114" s="666" t="str">
        <f>$H$11</f>
        <v>May-17</v>
      </c>
      <c r="I114" s="666" t="str">
        <f>$I$11</f>
        <v>Jun-17</v>
      </c>
      <c r="J114" s="666" t="str">
        <f>$J$11</f>
        <v>Jul-17</v>
      </c>
      <c r="K114" s="666" t="str">
        <f>$K$11</f>
        <v>Aug-17</v>
      </c>
      <c r="L114" s="666" t="str">
        <f>$L$11</f>
        <v>Sep-17</v>
      </c>
      <c r="M114" s="666" t="str">
        <f>$M$11</f>
        <v>Oct-17</v>
      </c>
      <c r="N114" s="666" t="str">
        <f>$N$11</f>
        <v>Nov-17</v>
      </c>
      <c r="O114" s="666" t="str">
        <f>$O$11</f>
        <v>Dec-17</v>
      </c>
      <c r="P114" s="666" t="s">
        <v>9</v>
      </c>
      <c r="S114" s="282"/>
    </row>
    <row r="115" spans="1:19" x14ac:dyDescent="0.2">
      <c r="A115" s="584"/>
      <c r="B115" s="667" t="s">
        <v>42</v>
      </c>
      <c r="C115" s="658" t="s">
        <v>43</v>
      </c>
      <c r="D115" s="591" t="s">
        <v>45</v>
      </c>
      <c r="E115" s="591" t="s">
        <v>46</v>
      </c>
      <c r="F115" s="591" t="s">
        <v>49</v>
      </c>
      <c r="G115" s="591" t="s">
        <v>50</v>
      </c>
      <c r="H115" s="591" t="s">
        <v>51</v>
      </c>
      <c r="I115" s="591" t="s">
        <v>52</v>
      </c>
      <c r="J115" s="591" t="s">
        <v>53</v>
      </c>
      <c r="K115" s="592" t="s">
        <v>54</v>
      </c>
      <c r="L115" s="592" t="s">
        <v>55</v>
      </c>
      <c r="M115" s="592" t="s">
        <v>56</v>
      </c>
      <c r="N115" s="592" t="s">
        <v>57</v>
      </c>
      <c r="O115" s="592" t="s">
        <v>58</v>
      </c>
      <c r="P115" s="592" t="s">
        <v>59</v>
      </c>
      <c r="S115" s="229"/>
    </row>
    <row r="116" spans="1:19" ht="10.8" thickBot="1" x14ac:dyDescent="0.25">
      <c r="A116" s="584"/>
      <c r="B116" s="667"/>
      <c r="C116" s="658"/>
      <c r="D116" s="591"/>
      <c r="E116" s="591"/>
      <c r="F116" s="591"/>
      <c r="G116" s="591"/>
      <c r="H116" s="591"/>
      <c r="I116" s="591"/>
      <c r="J116" s="592"/>
      <c r="K116" s="592"/>
      <c r="L116" s="592"/>
      <c r="M116" s="592"/>
      <c r="N116" s="592"/>
      <c r="O116" s="592"/>
      <c r="P116" s="592"/>
      <c r="S116" s="229"/>
    </row>
    <row r="117" spans="1:19" x14ac:dyDescent="0.2">
      <c r="A117" s="668">
        <v>1</v>
      </c>
      <c r="B117" s="669" t="s">
        <v>10</v>
      </c>
      <c r="C117" s="670"/>
      <c r="D117" s="539"/>
      <c r="E117" s="671"/>
      <c r="F117" s="671"/>
      <c r="G117" s="671"/>
      <c r="H117" s="539"/>
      <c r="I117" s="539"/>
      <c r="J117" s="539"/>
      <c r="K117" s="440"/>
      <c r="L117" s="440"/>
      <c r="M117" s="440"/>
      <c r="N117" s="440"/>
      <c r="O117" s="440"/>
      <c r="P117" s="441"/>
      <c r="S117" s="790"/>
    </row>
    <row r="118" spans="1:19" x14ac:dyDescent="0.2">
      <c r="A118" s="672"/>
      <c r="B118" s="301"/>
      <c r="C118" s="673"/>
      <c r="D118" s="300"/>
      <c r="E118" s="304"/>
      <c r="F118" s="304"/>
      <c r="G118" s="304"/>
      <c r="H118" s="300"/>
      <c r="I118" s="300"/>
      <c r="J118" s="300"/>
      <c r="K118" s="301"/>
      <c r="L118" s="301"/>
      <c r="M118" s="301"/>
      <c r="N118" s="301"/>
      <c r="O118" s="301"/>
      <c r="P118" s="443"/>
      <c r="S118" s="790"/>
    </row>
    <row r="119" spans="1:19" x14ac:dyDescent="0.2">
      <c r="A119" s="672">
        <f>A117+1</f>
        <v>2</v>
      </c>
      <c r="B119" s="494" t="s">
        <v>11</v>
      </c>
      <c r="C119" s="605"/>
      <c r="D119" s="605"/>
      <c r="E119" s="605"/>
      <c r="F119" s="605"/>
      <c r="G119" s="605"/>
      <c r="H119" s="605"/>
      <c r="I119" s="605"/>
      <c r="J119" s="256"/>
      <c r="K119" s="301"/>
      <c r="L119" s="301"/>
      <c r="M119" s="301"/>
      <c r="N119" s="301"/>
      <c r="O119" s="301"/>
      <c r="P119" s="443"/>
      <c r="S119" s="790"/>
    </row>
    <row r="120" spans="1:19" x14ac:dyDescent="0.2">
      <c r="A120" s="672">
        <f>A119+1</f>
        <v>3</v>
      </c>
      <c r="B120" s="478" t="s">
        <v>288</v>
      </c>
      <c r="C120" s="650"/>
      <c r="D120" s="498">
        <f t="shared" ref="D120:O120" si="25">D15+D25+D30+D35+D40+D45+D68+D73</f>
        <v>97732</v>
      </c>
      <c r="E120" s="498">
        <f t="shared" si="25"/>
        <v>97872</v>
      </c>
      <c r="F120" s="498">
        <f t="shared" si="25"/>
        <v>97800</v>
      </c>
      <c r="G120" s="498">
        <f t="shared" si="25"/>
        <v>97231</v>
      </c>
      <c r="H120" s="498">
        <f t="shared" si="25"/>
        <v>96644</v>
      </c>
      <c r="I120" s="498">
        <f t="shared" si="25"/>
        <v>95858</v>
      </c>
      <c r="J120" s="498">
        <f t="shared" si="25"/>
        <v>95262</v>
      </c>
      <c r="K120" s="498">
        <f t="shared" si="25"/>
        <v>95003</v>
      </c>
      <c r="L120" s="498">
        <f t="shared" si="25"/>
        <v>94942</v>
      </c>
      <c r="M120" s="498">
        <f t="shared" si="25"/>
        <v>95291</v>
      </c>
      <c r="N120" s="498">
        <f t="shared" si="25"/>
        <v>96432</v>
      </c>
      <c r="O120" s="498">
        <f t="shared" si="25"/>
        <v>97362</v>
      </c>
      <c r="P120" s="674">
        <f>SUM(D120:O120)</f>
        <v>1157429</v>
      </c>
      <c r="S120" s="790"/>
    </row>
    <row r="121" spans="1:19" ht="12" x14ac:dyDescent="0.35">
      <c r="A121" s="672">
        <f>A120+1</f>
        <v>4</v>
      </c>
      <c r="B121" s="478" t="s">
        <v>289</v>
      </c>
      <c r="C121" s="650"/>
      <c r="D121" s="676">
        <f t="shared" ref="D121:O121" si="26">D16+D26+D31+D36+D41+D46+D69+D74</f>
        <v>1588</v>
      </c>
      <c r="E121" s="676">
        <f t="shared" si="26"/>
        <v>1632</v>
      </c>
      <c r="F121" s="676">
        <f t="shared" si="26"/>
        <v>1773</v>
      </c>
      <c r="G121" s="676">
        <f t="shared" si="26"/>
        <v>2323</v>
      </c>
      <c r="H121" s="676">
        <f t="shared" si="26"/>
        <v>2426</v>
      </c>
      <c r="I121" s="676">
        <f t="shared" si="26"/>
        <v>2267</v>
      </c>
      <c r="J121" s="676">
        <f t="shared" si="26"/>
        <v>2008</v>
      </c>
      <c r="K121" s="676">
        <f t="shared" si="26"/>
        <v>2645</v>
      </c>
      <c r="L121" s="676">
        <f t="shared" si="26"/>
        <v>2068</v>
      </c>
      <c r="M121" s="676">
        <f t="shared" si="26"/>
        <v>1695</v>
      </c>
      <c r="N121" s="676">
        <f t="shared" si="26"/>
        <v>1590</v>
      </c>
      <c r="O121" s="676">
        <f t="shared" si="26"/>
        <v>1594</v>
      </c>
      <c r="P121" s="677">
        <f>SUM(D121:O121)</f>
        <v>23609</v>
      </c>
      <c r="S121" s="790"/>
    </row>
    <row r="122" spans="1:19" x14ac:dyDescent="0.2">
      <c r="A122" s="672">
        <f>A121+1</f>
        <v>5</v>
      </c>
      <c r="B122" s="478" t="s">
        <v>259</v>
      </c>
      <c r="C122" s="650"/>
      <c r="D122" s="498">
        <f t="shared" ref="D122:O122" si="27">SUM(D120:D121)</f>
        <v>99320</v>
      </c>
      <c r="E122" s="498">
        <f t="shared" si="27"/>
        <v>99504</v>
      </c>
      <c r="F122" s="498">
        <f t="shared" si="27"/>
        <v>99573</v>
      </c>
      <c r="G122" s="498">
        <f t="shared" si="27"/>
        <v>99554</v>
      </c>
      <c r="H122" s="498">
        <f t="shared" si="27"/>
        <v>99070</v>
      </c>
      <c r="I122" s="498">
        <f t="shared" si="27"/>
        <v>98125</v>
      </c>
      <c r="J122" s="498">
        <f t="shared" si="27"/>
        <v>97270</v>
      </c>
      <c r="K122" s="498">
        <f t="shared" si="27"/>
        <v>97648</v>
      </c>
      <c r="L122" s="498">
        <f t="shared" si="27"/>
        <v>97010</v>
      </c>
      <c r="M122" s="498">
        <f t="shared" si="27"/>
        <v>96986</v>
      </c>
      <c r="N122" s="498">
        <f t="shared" si="27"/>
        <v>98022</v>
      </c>
      <c r="O122" s="498">
        <f t="shared" si="27"/>
        <v>98956</v>
      </c>
      <c r="P122" s="674">
        <f>SUM(D122:O122)</f>
        <v>1181038</v>
      </c>
      <c r="S122" s="790"/>
    </row>
    <row r="123" spans="1:19" x14ac:dyDescent="0.2">
      <c r="A123" s="672"/>
      <c r="B123" s="301"/>
      <c r="C123" s="304"/>
      <c r="D123" s="304"/>
      <c r="E123" s="304"/>
      <c r="F123" s="304"/>
      <c r="G123" s="304"/>
      <c r="H123" s="304"/>
      <c r="I123" s="304"/>
      <c r="J123" s="256"/>
      <c r="K123" s="301"/>
      <c r="L123" s="301"/>
      <c r="M123" s="301"/>
      <c r="N123" s="301"/>
      <c r="O123" s="301"/>
      <c r="P123" s="443"/>
      <c r="S123" s="790"/>
    </row>
    <row r="124" spans="1:19" x14ac:dyDescent="0.2">
      <c r="A124" s="672">
        <f>A122+1</f>
        <v>6</v>
      </c>
      <c r="B124" s="494" t="s">
        <v>12</v>
      </c>
      <c r="C124" s="605"/>
      <c r="D124" s="605"/>
      <c r="E124" s="605"/>
      <c r="F124" s="605"/>
      <c r="G124" s="605"/>
      <c r="H124" s="605"/>
      <c r="I124" s="605"/>
      <c r="J124" s="256"/>
      <c r="K124" s="301"/>
      <c r="L124" s="301"/>
      <c r="M124" s="301"/>
      <c r="N124" s="301"/>
      <c r="O124" s="301"/>
      <c r="P124" s="443"/>
      <c r="S124" s="790"/>
    </row>
    <row r="125" spans="1:19" x14ac:dyDescent="0.2">
      <c r="A125" s="672">
        <f>A124+1</f>
        <v>7</v>
      </c>
      <c r="B125" s="478" t="s">
        <v>288</v>
      </c>
      <c r="C125" s="650"/>
      <c r="D125" s="304">
        <f t="shared" ref="D125:P125" si="28">D20+D50+D78</f>
        <v>10121</v>
      </c>
      <c r="E125" s="304">
        <f t="shared" si="28"/>
        <v>10208</v>
      </c>
      <c r="F125" s="304">
        <f t="shared" si="28"/>
        <v>9956</v>
      </c>
      <c r="G125" s="304">
        <f t="shared" si="28"/>
        <v>9870</v>
      </c>
      <c r="H125" s="304">
        <f t="shared" si="28"/>
        <v>9781</v>
      </c>
      <c r="I125" s="304">
        <f t="shared" si="28"/>
        <v>9698</v>
      </c>
      <c r="J125" s="304">
        <f t="shared" si="28"/>
        <v>9713</v>
      </c>
      <c r="K125" s="304">
        <f t="shared" si="28"/>
        <v>9683</v>
      </c>
      <c r="L125" s="304">
        <f t="shared" si="28"/>
        <v>9673</v>
      </c>
      <c r="M125" s="304">
        <f t="shared" si="28"/>
        <v>9707</v>
      </c>
      <c r="N125" s="304">
        <f t="shared" si="28"/>
        <v>9855</v>
      </c>
      <c r="O125" s="304">
        <f t="shared" si="28"/>
        <v>10023</v>
      </c>
      <c r="P125" s="674">
        <f t="shared" si="28"/>
        <v>118288</v>
      </c>
      <c r="S125" s="790"/>
    </row>
    <row r="126" spans="1:19" x14ac:dyDescent="0.2">
      <c r="A126" s="672">
        <f>A125+1</f>
        <v>8</v>
      </c>
      <c r="B126" s="478" t="s">
        <v>244</v>
      </c>
      <c r="C126" s="650"/>
      <c r="D126" s="304">
        <f>D79</f>
        <v>-1</v>
      </c>
      <c r="E126" s="304">
        <f t="shared" ref="E126:P126" si="29">E79</f>
        <v>-1</v>
      </c>
      <c r="F126" s="304">
        <f t="shared" si="29"/>
        <v>-1</v>
      </c>
      <c r="G126" s="304">
        <f t="shared" si="29"/>
        <v>-1</v>
      </c>
      <c r="H126" s="304">
        <f t="shared" si="29"/>
        <v>-1</v>
      </c>
      <c r="I126" s="304">
        <f t="shared" si="29"/>
        <v>-1</v>
      </c>
      <c r="J126" s="304">
        <f t="shared" si="29"/>
        <v>-1</v>
      </c>
      <c r="K126" s="304">
        <f t="shared" si="29"/>
        <v>-1</v>
      </c>
      <c r="L126" s="304">
        <f t="shared" si="29"/>
        <v>-1</v>
      </c>
      <c r="M126" s="304">
        <f t="shared" si="29"/>
        <v>-1</v>
      </c>
      <c r="N126" s="304">
        <f t="shared" si="29"/>
        <v>-1</v>
      </c>
      <c r="O126" s="304">
        <f t="shared" si="29"/>
        <v>-1</v>
      </c>
      <c r="P126" s="674">
        <f t="shared" si="29"/>
        <v>-12</v>
      </c>
      <c r="S126" s="790"/>
    </row>
    <row r="127" spans="1:19" ht="12" x14ac:dyDescent="0.35">
      <c r="A127" s="672">
        <f>A126+1</f>
        <v>9</v>
      </c>
      <c r="B127" s="478" t="s">
        <v>289</v>
      </c>
      <c r="C127" s="650"/>
      <c r="D127" s="303">
        <f t="shared" ref="D127:P127" si="30">D21+D51+D80</f>
        <v>91</v>
      </c>
      <c r="E127" s="303">
        <f t="shared" si="30"/>
        <v>68</v>
      </c>
      <c r="F127" s="303">
        <f t="shared" si="30"/>
        <v>85</v>
      </c>
      <c r="G127" s="303">
        <f t="shared" si="30"/>
        <v>139</v>
      </c>
      <c r="H127" s="303">
        <f t="shared" si="30"/>
        <v>107</v>
      </c>
      <c r="I127" s="303">
        <f t="shared" si="30"/>
        <v>88</v>
      </c>
      <c r="J127" s="303">
        <f t="shared" si="30"/>
        <v>76</v>
      </c>
      <c r="K127" s="303">
        <f t="shared" si="30"/>
        <v>92</v>
      </c>
      <c r="L127" s="303">
        <f t="shared" si="30"/>
        <v>71</v>
      </c>
      <c r="M127" s="303">
        <f t="shared" si="30"/>
        <v>70</v>
      </c>
      <c r="N127" s="303">
        <f t="shared" si="30"/>
        <v>65</v>
      </c>
      <c r="O127" s="303">
        <f t="shared" si="30"/>
        <v>58</v>
      </c>
      <c r="P127" s="677">
        <f t="shared" si="30"/>
        <v>1010</v>
      </c>
      <c r="S127" s="790"/>
    </row>
    <row r="128" spans="1:19" x14ac:dyDescent="0.2">
      <c r="A128" s="672">
        <f>A127+1</f>
        <v>10</v>
      </c>
      <c r="B128" s="478" t="s">
        <v>259</v>
      </c>
      <c r="C128" s="650"/>
      <c r="D128" s="498">
        <f t="shared" ref="D128:O128" si="31">SUM(D125:D127)</f>
        <v>10211</v>
      </c>
      <c r="E128" s="498">
        <f t="shared" si="31"/>
        <v>10275</v>
      </c>
      <c r="F128" s="498">
        <f t="shared" si="31"/>
        <v>10040</v>
      </c>
      <c r="G128" s="498">
        <f t="shared" si="31"/>
        <v>10008</v>
      </c>
      <c r="H128" s="498">
        <f t="shared" si="31"/>
        <v>9887</v>
      </c>
      <c r="I128" s="498">
        <f t="shared" si="31"/>
        <v>9785</v>
      </c>
      <c r="J128" s="498">
        <f t="shared" si="31"/>
        <v>9788</v>
      </c>
      <c r="K128" s="498">
        <f t="shared" si="31"/>
        <v>9774</v>
      </c>
      <c r="L128" s="498">
        <f t="shared" si="31"/>
        <v>9743</v>
      </c>
      <c r="M128" s="498">
        <f t="shared" si="31"/>
        <v>9776</v>
      </c>
      <c r="N128" s="498">
        <f t="shared" si="31"/>
        <v>9919</v>
      </c>
      <c r="O128" s="498">
        <f t="shared" si="31"/>
        <v>10080</v>
      </c>
      <c r="P128" s="674">
        <f>SUM(D128:O128)</f>
        <v>119286</v>
      </c>
      <c r="S128" s="790"/>
    </row>
    <row r="129" spans="1:19" x14ac:dyDescent="0.2">
      <c r="A129" s="672"/>
      <c r="B129" s="301"/>
      <c r="C129" s="605"/>
      <c r="D129" s="605"/>
      <c r="E129" s="605"/>
      <c r="F129" s="605"/>
      <c r="G129" s="605"/>
      <c r="H129" s="605"/>
      <c r="I129" s="605"/>
      <c r="J129" s="256"/>
      <c r="K129" s="301"/>
      <c r="L129" s="301"/>
      <c r="M129" s="301"/>
      <c r="N129" s="301"/>
      <c r="O129" s="301"/>
      <c r="P129" s="443"/>
      <c r="S129" s="790"/>
    </row>
    <row r="130" spans="1:19" x14ac:dyDescent="0.2">
      <c r="A130" s="672">
        <f>A128+1</f>
        <v>11</v>
      </c>
      <c r="B130" s="494" t="s">
        <v>13</v>
      </c>
      <c r="C130" s="605"/>
      <c r="D130" s="605"/>
      <c r="E130" s="605"/>
      <c r="F130" s="605"/>
      <c r="G130" s="605"/>
      <c r="H130" s="605"/>
      <c r="I130" s="605"/>
      <c r="J130" s="679"/>
      <c r="K130" s="301"/>
      <c r="L130" s="301"/>
      <c r="M130" s="301"/>
      <c r="N130" s="301"/>
      <c r="O130" s="301"/>
      <c r="P130" s="443"/>
      <c r="S130" s="790"/>
    </row>
    <row r="131" spans="1:19" x14ac:dyDescent="0.2">
      <c r="A131" s="672">
        <f>A130+1</f>
        <v>12</v>
      </c>
      <c r="B131" s="478" t="s">
        <v>288</v>
      </c>
      <c r="C131" s="650"/>
      <c r="D131" s="498">
        <f t="shared" ref="D131:O131" si="32">D84+D90</f>
        <v>41</v>
      </c>
      <c r="E131" s="498">
        <f t="shared" si="32"/>
        <v>41</v>
      </c>
      <c r="F131" s="498">
        <f t="shared" si="32"/>
        <v>41</v>
      </c>
      <c r="G131" s="498">
        <f t="shared" si="32"/>
        <v>41</v>
      </c>
      <c r="H131" s="498">
        <f t="shared" si="32"/>
        <v>41</v>
      </c>
      <c r="I131" s="498">
        <f t="shared" si="32"/>
        <v>41</v>
      </c>
      <c r="J131" s="498">
        <f t="shared" si="32"/>
        <v>41</v>
      </c>
      <c r="K131" s="498">
        <f t="shared" si="32"/>
        <v>41</v>
      </c>
      <c r="L131" s="498">
        <f t="shared" si="32"/>
        <v>41</v>
      </c>
      <c r="M131" s="498">
        <f t="shared" si="32"/>
        <v>41</v>
      </c>
      <c r="N131" s="498">
        <f t="shared" si="32"/>
        <v>41</v>
      </c>
      <c r="O131" s="498">
        <f t="shared" si="32"/>
        <v>41</v>
      </c>
      <c r="P131" s="674">
        <f>SUM(D131:O131)</f>
        <v>492</v>
      </c>
      <c r="S131" s="790"/>
    </row>
    <row r="132" spans="1:19" x14ac:dyDescent="0.2">
      <c r="A132" s="672">
        <f>A131+1</f>
        <v>13</v>
      </c>
      <c r="B132" s="478" t="s">
        <v>244</v>
      </c>
      <c r="C132" s="650"/>
      <c r="D132" s="304">
        <f t="shared" ref="D132:O132" si="33">D85+D91</f>
        <v>2</v>
      </c>
      <c r="E132" s="304">
        <f t="shared" si="33"/>
        <v>2</v>
      </c>
      <c r="F132" s="304">
        <f t="shared" si="33"/>
        <v>2</v>
      </c>
      <c r="G132" s="304">
        <f t="shared" si="33"/>
        <v>2</v>
      </c>
      <c r="H132" s="304">
        <f t="shared" si="33"/>
        <v>2</v>
      </c>
      <c r="I132" s="304">
        <f t="shared" si="33"/>
        <v>2</v>
      </c>
      <c r="J132" s="304">
        <f t="shared" si="33"/>
        <v>3</v>
      </c>
      <c r="K132" s="304">
        <f t="shared" si="33"/>
        <v>3</v>
      </c>
      <c r="L132" s="304">
        <f t="shared" si="33"/>
        <v>3</v>
      </c>
      <c r="M132" s="304">
        <f t="shared" si="33"/>
        <v>3</v>
      </c>
      <c r="N132" s="304">
        <f t="shared" si="33"/>
        <v>3</v>
      </c>
      <c r="O132" s="304">
        <f t="shared" si="33"/>
        <v>3</v>
      </c>
      <c r="P132" s="675">
        <f>SUM(D132:O132)</f>
        <v>30</v>
      </c>
      <c r="S132" s="790"/>
    </row>
    <row r="133" spans="1:19" x14ac:dyDescent="0.2">
      <c r="A133" s="672">
        <f>A132+1</f>
        <v>14</v>
      </c>
      <c r="B133" s="478" t="s">
        <v>289</v>
      </c>
      <c r="C133" s="650"/>
      <c r="D133" s="303">
        <f t="shared" ref="D133:O133" si="34">D86+D92</f>
        <v>0</v>
      </c>
      <c r="E133" s="303">
        <f t="shared" si="34"/>
        <v>0</v>
      </c>
      <c r="F133" s="303">
        <f t="shared" si="34"/>
        <v>0</v>
      </c>
      <c r="G133" s="303">
        <f t="shared" si="34"/>
        <v>0</v>
      </c>
      <c r="H133" s="303">
        <f t="shared" si="34"/>
        <v>0</v>
      </c>
      <c r="I133" s="303">
        <f t="shared" si="34"/>
        <v>1</v>
      </c>
      <c r="J133" s="303">
        <f t="shared" si="34"/>
        <v>0</v>
      </c>
      <c r="K133" s="303">
        <f t="shared" si="34"/>
        <v>1</v>
      </c>
      <c r="L133" s="303">
        <f t="shared" si="34"/>
        <v>0</v>
      </c>
      <c r="M133" s="303">
        <f t="shared" si="34"/>
        <v>0</v>
      </c>
      <c r="N133" s="303">
        <f t="shared" si="34"/>
        <v>0</v>
      </c>
      <c r="O133" s="303">
        <f t="shared" si="34"/>
        <v>0</v>
      </c>
      <c r="P133" s="675">
        <f>SUM(D133:O133)</f>
        <v>2</v>
      </c>
      <c r="S133" s="790"/>
    </row>
    <row r="134" spans="1:19" x14ac:dyDescent="0.2">
      <c r="A134" s="672">
        <f>A133+1</f>
        <v>15</v>
      </c>
      <c r="B134" s="478" t="s">
        <v>259</v>
      </c>
      <c r="C134" s="650"/>
      <c r="D134" s="498">
        <f t="shared" ref="D134:O134" si="35">SUM(D131:D133)</f>
        <v>43</v>
      </c>
      <c r="E134" s="498">
        <f t="shared" si="35"/>
        <v>43</v>
      </c>
      <c r="F134" s="498">
        <f t="shared" si="35"/>
        <v>43</v>
      </c>
      <c r="G134" s="498">
        <f t="shared" si="35"/>
        <v>43</v>
      </c>
      <c r="H134" s="498">
        <f t="shared" si="35"/>
        <v>43</v>
      </c>
      <c r="I134" s="498">
        <f t="shared" si="35"/>
        <v>44</v>
      </c>
      <c r="J134" s="498">
        <f t="shared" si="35"/>
        <v>44</v>
      </c>
      <c r="K134" s="498">
        <f t="shared" si="35"/>
        <v>45</v>
      </c>
      <c r="L134" s="498">
        <f t="shared" si="35"/>
        <v>44</v>
      </c>
      <c r="M134" s="498">
        <f t="shared" si="35"/>
        <v>44</v>
      </c>
      <c r="N134" s="498">
        <f t="shared" si="35"/>
        <v>44</v>
      </c>
      <c r="O134" s="498">
        <f t="shared" si="35"/>
        <v>44</v>
      </c>
      <c r="P134" s="674">
        <f>SUM(D134:O134)</f>
        <v>524</v>
      </c>
      <c r="S134" s="790"/>
    </row>
    <row r="135" spans="1:19" x14ac:dyDescent="0.2">
      <c r="A135" s="672"/>
      <c r="B135" s="301"/>
      <c r="C135" s="605"/>
      <c r="D135" s="605"/>
      <c r="E135" s="605"/>
      <c r="F135" s="605"/>
      <c r="G135" s="605"/>
      <c r="H135" s="605"/>
      <c r="I135" s="605"/>
      <c r="J135" s="679"/>
      <c r="K135" s="301"/>
      <c r="L135" s="301"/>
      <c r="M135" s="301"/>
      <c r="N135" s="301"/>
      <c r="O135" s="301"/>
      <c r="P135" s="443"/>
      <c r="S135" s="790"/>
    </row>
    <row r="136" spans="1:19" x14ac:dyDescent="0.2">
      <c r="A136" s="672">
        <f>A134+1</f>
        <v>16</v>
      </c>
      <c r="B136" s="494" t="s">
        <v>71</v>
      </c>
      <c r="C136" s="619"/>
      <c r="D136" s="679"/>
      <c r="E136" s="679"/>
      <c r="F136" s="679"/>
      <c r="G136" s="679"/>
      <c r="H136" s="679"/>
      <c r="I136" s="679"/>
      <c r="J136" s="679"/>
      <c r="K136" s="301"/>
      <c r="L136" s="301"/>
      <c r="M136" s="301"/>
      <c r="N136" s="301"/>
      <c r="O136" s="301"/>
      <c r="P136" s="443"/>
      <c r="S136" s="790"/>
    </row>
    <row r="137" spans="1:19" x14ac:dyDescent="0.2">
      <c r="A137" s="672">
        <f>A136+1</f>
        <v>17</v>
      </c>
      <c r="B137" s="478" t="s">
        <v>288</v>
      </c>
      <c r="C137" s="650"/>
      <c r="D137" s="498">
        <f t="shared" ref="D137:O137" si="36">D96</f>
        <v>2</v>
      </c>
      <c r="E137" s="498">
        <f t="shared" si="36"/>
        <v>2</v>
      </c>
      <c r="F137" s="498">
        <f t="shared" si="36"/>
        <v>2</v>
      </c>
      <c r="G137" s="498">
        <f t="shared" si="36"/>
        <v>2</v>
      </c>
      <c r="H137" s="498">
        <f t="shared" si="36"/>
        <v>2</v>
      </c>
      <c r="I137" s="498">
        <f t="shared" si="36"/>
        <v>2</v>
      </c>
      <c r="J137" s="498">
        <f t="shared" si="36"/>
        <v>2</v>
      </c>
      <c r="K137" s="498">
        <f t="shared" si="36"/>
        <v>2</v>
      </c>
      <c r="L137" s="498">
        <f t="shared" si="36"/>
        <v>2</v>
      </c>
      <c r="M137" s="498">
        <f t="shared" si="36"/>
        <v>2</v>
      </c>
      <c r="N137" s="498">
        <f t="shared" si="36"/>
        <v>2</v>
      </c>
      <c r="O137" s="498">
        <f t="shared" si="36"/>
        <v>2</v>
      </c>
      <c r="P137" s="674">
        <f>SUM(D137:O137)</f>
        <v>24</v>
      </c>
      <c r="S137" s="790"/>
    </row>
    <row r="138" spans="1:19" x14ac:dyDescent="0.2">
      <c r="A138" s="672">
        <f>A137+1</f>
        <v>18</v>
      </c>
      <c r="B138" s="478" t="s">
        <v>244</v>
      </c>
      <c r="C138" s="650"/>
      <c r="D138" s="304">
        <f t="shared" ref="D138:O138" si="37">D97</f>
        <v>0</v>
      </c>
      <c r="E138" s="304">
        <f t="shared" si="37"/>
        <v>0</v>
      </c>
      <c r="F138" s="304">
        <f t="shared" si="37"/>
        <v>0</v>
      </c>
      <c r="G138" s="304">
        <f t="shared" si="37"/>
        <v>0</v>
      </c>
      <c r="H138" s="304">
        <f t="shared" si="37"/>
        <v>0</v>
      </c>
      <c r="I138" s="304">
        <f t="shared" si="37"/>
        <v>0</v>
      </c>
      <c r="J138" s="304">
        <f t="shared" si="37"/>
        <v>0</v>
      </c>
      <c r="K138" s="304">
        <f t="shared" si="37"/>
        <v>0</v>
      </c>
      <c r="L138" s="304">
        <f t="shared" si="37"/>
        <v>0</v>
      </c>
      <c r="M138" s="304">
        <f t="shared" si="37"/>
        <v>0</v>
      </c>
      <c r="N138" s="304">
        <f t="shared" si="37"/>
        <v>0</v>
      </c>
      <c r="O138" s="304">
        <f t="shared" si="37"/>
        <v>0</v>
      </c>
      <c r="P138" s="675">
        <f>SUM(D138:O138)</f>
        <v>0</v>
      </c>
      <c r="S138" s="790"/>
    </row>
    <row r="139" spans="1:19" x14ac:dyDescent="0.2">
      <c r="A139" s="672">
        <f>A138+1</f>
        <v>19</v>
      </c>
      <c r="B139" s="478" t="s">
        <v>289</v>
      </c>
      <c r="C139" s="650"/>
      <c r="D139" s="303">
        <f t="shared" ref="D139:O139" si="38">D98</f>
        <v>0</v>
      </c>
      <c r="E139" s="303">
        <f t="shared" si="38"/>
        <v>0</v>
      </c>
      <c r="F139" s="303">
        <f t="shared" si="38"/>
        <v>0</v>
      </c>
      <c r="G139" s="303">
        <f t="shared" si="38"/>
        <v>0</v>
      </c>
      <c r="H139" s="303">
        <f t="shared" si="38"/>
        <v>0</v>
      </c>
      <c r="I139" s="303">
        <f t="shared" si="38"/>
        <v>0</v>
      </c>
      <c r="J139" s="303">
        <f t="shared" si="38"/>
        <v>0</v>
      </c>
      <c r="K139" s="303">
        <f t="shared" si="38"/>
        <v>0</v>
      </c>
      <c r="L139" s="303">
        <f t="shared" si="38"/>
        <v>0</v>
      </c>
      <c r="M139" s="303">
        <f t="shared" si="38"/>
        <v>0</v>
      </c>
      <c r="N139" s="303">
        <f t="shared" si="38"/>
        <v>0</v>
      </c>
      <c r="O139" s="303">
        <f t="shared" si="38"/>
        <v>0</v>
      </c>
      <c r="P139" s="678">
        <f>SUM(D139:O139)</f>
        <v>0</v>
      </c>
      <c r="S139" s="790"/>
    </row>
    <row r="140" spans="1:19" x14ac:dyDescent="0.2">
      <c r="A140" s="672">
        <f>A139+1</f>
        <v>20</v>
      </c>
      <c r="B140" s="478" t="s">
        <v>259</v>
      </c>
      <c r="C140" s="650"/>
      <c r="D140" s="498">
        <f t="shared" ref="D140:O140" si="39">SUM(D137:D139)</f>
        <v>2</v>
      </c>
      <c r="E140" s="498">
        <f t="shared" si="39"/>
        <v>2</v>
      </c>
      <c r="F140" s="498">
        <f t="shared" si="39"/>
        <v>2</v>
      </c>
      <c r="G140" s="498">
        <f t="shared" si="39"/>
        <v>2</v>
      </c>
      <c r="H140" s="498">
        <f t="shared" si="39"/>
        <v>2</v>
      </c>
      <c r="I140" s="498">
        <f t="shared" si="39"/>
        <v>2</v>
      </c>
      <c r="J140" s="498">
        <f t="shared" si="39"/>
        <v>2</v>
      </c>
      <c r="K140" s="498">
        <f t="shared" si="39"/>
        <v>2</v>
      </c>
      <c r="L140" s="498">
        <f t="shared" si="39"/>
        <v>2</v>
      </c>
      <c r="M140" s="498">
        <f t="shared" si="39"/>
        <v>2</v>
      </c>
      <c r="N140" s="498">
        <f t="shared" si="39"/>
        <v>2</v>
      </c>
      <c r="O140" s="498">
        <f t="shared" si="39"/>
        <v>2</v>
      </c>
      <c r="P140" s="674">
        <f>SUM(D140:O140)</f>
        <v>24</v>
      </c>
      <c r="S140" s="790"/>
    </row>
    <row r="141" spans="1:19" x14ac:dyDescent="0.2">
      <c r="A141" s="672"/>
      <c r="B141" s="301"/>
      <c r="C141" s="304"/>
      <c r="D141" s="300"/>
      <c r="E141" s="300"/>
      <c r="F141" s="300"/>
      <c r="G141" s="300"/>
      <c r="H141" s="300"/>
      <c r="I141" s="300"/>
      <c r="J141" s="256"/>
      <c r="K141" s="301"/>
      <c r="L141" s="301"/>
      <c r="M141" s="301"/>
      <c r="N141" s="301"/>
      <c r="O141" s="301"/>
      <c r="P141" s="443"/>
      <c r="S141" s="790"/>
    </row>
    <row r="142" spans="1:19" x14ac:dyDescent="0.2">
      <c r="A142" s="672">
        <f>A140+1</f>
        <v>21</v>
      </c>
      <c r="B142" s="494" t="s">
        <v>14</v>
      </c>
      <c r="C142" s="605"/>
      <c r="D142" s="256"/>
      <c r="E142" s="256"/>
      <c r="F142" s="256"/>
      <c r="G142" s="256"/>
      <c r="H142" s="256"/>
      <c r="I142" s="256"/>
      <c r="J142" s="256"/>
      <c r="K142" s="301"/>
      <c r="L142" s="301"/>
      <c r="M142" s="301"/>
      <c r="N142" s="301"/>
      <c r="O142" s="301"/>
      <c r="P142" s="443"/>
      <c r="S142" s="790"/>
    </row>
    <row r="143" spans="1:19" x14ac:dyDescent="0.2">
      <c r="A143" s="672">
        <f>A142+1</f>
        <v>22</v>
      </c>
      <c r="B143" s="478" t="s">
        <v>288</v>
      </c>
      <c r="C143" s="650"/>
      <c r="D143" s="498">
        <f t="shared" ref="D143:O143" si="40">D120+D125+D131+D137</f>
        <v>107896</v>
      </c>
      <c r="E143" s="498">
        <f t="shared" si="40"/>
        <v>108123</v>
      </c>
      <c r="F143" s="498">
        <f t="shared" si="40"/>
        <v>107799</v>
      </c>
      <c r="G143" s="498">
        <f t="shared" si="40"/>
        <v>107144</v>
      </c>
      <c r="H143" s="498">
        <f t="shared" si="40"/>
        <v>106468</v>
      </c>
      <c r="I143" s="498">
        <f t="shared" si="40"/>
        <v>105599</v>
      </c>
      <c r="J143" s="498">
        <f t="shared" si="40"/>
        <v>105018</v>
      </c>
      <c r="K143" s="498">
        <f t="shared" si="40"/>
        <v>104729</v>
      </c>
      <c r="L143" s="498">
        <f t="shared" si="40"/>
        <v>104658</v>
      </c>
      <c r="M143" s="498">
        <f t="shared" si="40"/>
        <v>105041</v>
      </c>
      <c r="N143" s="498">
        <f t="shared" si="40"/>
        <v>106330</v>
      </c>
      <c r="O143" s="498">
        <f t="shared" si="40"/>
        <v>107428</v>
      </c>
      <c r="P143" s="674">
        <f>SUM(D143:O143)</f>
        <v>1276233</v>
      </c>
      <c r="S143" s="790"/>
    </row>
    <row r="144" spans="1:19" x14ac:dyDescent="0.2">
      <c r="A144" s="672">
        <f>A143+1</f>
        <v>23</v>
      </c>
      <c r="B144" s="478" t="s">
        <v>244</v>
      </c>
      <c r="C144" s="650"/>
      <c r="D144" s="304">
        <f>D126+D132+D138</f>
        <v>1</v>
      </c>
      <c r="E144" s="304">
        <f t="shared" ref="E144:P144" si="41">E126+E132+E138</f>
        <v>1</v>
      </c>
      <c r="F144" s="304">
        <f t="shared" si="41"/>
        <v>1</v>
      </c>
      <c r="G144" s="304">
        <f t="shared" si="41"/>
        <v>1</v>
      </c>
      <c r="H144" s="304">
        <f t="shared" si="41"/>
        <v>1</v>
      </c>
      <c r="I144" s="304">
        <f t="shared" si="41"/>
        <v>1</v>
      </c>
      <c r="J144" s="304">
        <f t="shared" si="41"/>
        <v>2</v>
      </c>
      <c r="K144" s="304">
        <f t="shared" si="41"/>
        <v>2</v>
      </c>
      <c r="L144" s="304">
        <f t="shared" si="41"/>
        <v>2</v>
      </c>
      <c r="M144" s="304">
        <f t="shared" si="41"/>
        <v>2</v>
      </c>
      <c r="N144" s="304">
        <f t="shared" si="41"/>
        <v>2</v>
      </c>
      <c r="O144" s="304">
        <f t="shared" si="41"/>
        <v>2</v>
      </c>
      <c r="P144" s="674">
        <f t="shared" si="41"/>
        <v>18</v>
      </c>
      <c r="S144" s="790"/>
    </row>
    <row r="145" spans="1:19" ht="12" x14ac:dyDescent="0.35">
      <c r="A145" s="672">
        <f>A144+1</f>
        <v>24</v>
      </c>
      <c r="B145" s="478" t="s">
        <v>289</v>
      </c>
      <c r="C145" s="650"/>
      <c r="D145" s="676">
        <f t="shared" ref="D145:O145" si="42">D121+D127+D133+D139</f>
        <v>1679</v>
      </c>
      <c r="E145" s="676">
        <f t="shared" si="42"/>
        <v>1700</v>
      </c>
      <c r="F145" s="676">
        <f t="shared" si="42"/>
        <v>1858</v>
      </c>
      <c r="G145" s="676">
        <f t="shared" si="42"/>
        <v>2462</v>
      </c>
      <c r="H145" s="676">
        <f t="shared" si="42"/>
        <v>2533</v>
      </c>
      <c r="I145" s="676">
        <f t="shared" si="42"/>
        <v>2356</v>
      </c>
      <c r="J145" s="676">
        <f t="shared" si="42"/>
        <v>2084</v>
      </c>
      <c r="K145" s="676">
        <f t="shared" si="42"/>
        <v>2738</v>
      </c>
      <c r="L145" s="676">
        <f t="shared" si="42"/>
        <v>2139</v>
      </c>
      <c r="M145" s="676">
        <f t="shared" si="42"/>
        <v>1765</v>
      </c>
      <c r="N145" s="676">
        <f t="shared" si="42"/>
        <v>1655</v>
      </c>
      <c r="O145" s="676">
        <f t="shared" si="42"/>
        <v>1652</v>
      </c>
      <c r="P145" s="677">
        <f>SUM(D145:O145)</f>
        <v>24621</v>
      </c>
      <c r="S145" s="790"/>
    </row>
    <row r="146" spans="1:19" ht="10.8" thickBot="1" x14ac:dyDescent="0.25">
      <c r="A146" s="680">
        <f>A145+1</f>
        <v>25</v>
      </c>
      <c r="B146" s="681" t="s">
        <v>259</v>
      </c>
      <c r="C146" s="682"/>
      <c r="D146" s="683">
        <f t="shared" ref="D146:O146" si="43">SUM(D143:D145)</f>
        <v>109576</v>
      </c>
      <c r="E146" s="683">
        <f t="shared" si="43"/>
        <v>109824</v>
      </c>
      <c r="F146" s="683">
        <f t="shared" si="43"/>
        <v>109658</v>
      </c>
      <c r="G146" s="683">
        <f t="shared" si="43"/>
        <v>109607</v>
      </c>
      <c r="H146" s="683">
        <f t="shared" si="43"/>
        <v>109002</v>
      </c>
      <c r="I146" s="683">
        <f t="shared" si="43"/>
        <v>107956</v>
      </c>
      <c r="J146" s="683">
        <f t="shared" si="43"/>
        <v>107104</v>
      </c>
      <c r="K146" s="683">
        <f t="shared" si="43"/>
        <v>107469</v>
      </c>
      <c r="L146" s="683">
        <f t="shared" si="43"/>
        <v>106799</v>
      </c>
      <c r="M146" s="683">
        <f t="shared" si="43"/>
        <v>106808</v>
      </c>
      <c r="N146" s="683">
        <f t="shared" si="43"/>
        <v>107987</v>
      </c>
      <c r="O146" s="683">
        <f t="shared" si="43"/>
        <v>109082</v>
      </c>
      <c r="P146" s="684">
        <f>SUM(D146:O146)</f>
        <v>1300872</v>
      </c>
      <c r="S146" s="790"/>
    </row>
    <row r="147" spans="1:19" x14ac:dyDescent="0.2">
      <c r="A147" s="788"/>
      <c r="B147" s="667"/>
      <c r="C147" s="658"/>
      <c r="D147" s="591"/>
      <c r="E147" s="591"/>
      <c r="F147" s="591"/>
      <c r="G147" s="591"/>
      <c r="H147" s="591"/>
      <c r="I147" s="591"/>
      <c r="J147" s="592"/>
      <c r="K147" s="592"/>
      <c r="L147" s="592"/>
      <c r="M147" s="592"/>
      <c r="N147" s="592"/>
      <c r="O147" s="592"/>
      <c r="P147" s="592"/>
      <c r="S147" s="790"/>
    </row>
    <row r="148" spans="1:19" x14ac:dyDescent="0.2">
      <c r="A148" s="980" t="s">
        <v>36</v>
      </c>
      <c r="B148" s="980"/>
      <c r="C148" s="980"/>
      <c r="D148" s="980"/>
      <c r="E148" s="980"/>
      <c r="F148" s="980"/>
      <c r="G148" s="980"/>
      <c r="H148" s="980"/>
      <c r="I148" s="980"/>
      <c r="J148" s="980"/>
      <c r="K148" s="980"/>
      <c r="L148" s="980"/>
      <c r="M148" s="980"/>
      <c r="N148" s="980"/>
      <c r="O148" s="980"/>
      <c r="P148" s="980"/>
      <c r="S148" s="790"/>
    </row>
    <row r="149" spans="1:19" x14ac:dyDescent="0.2">
      <c r="A149" s="980" t="s">
        <v>195</v>
      </c>
      <c r="B149" s="980"/>
      <c r="C149" s="980"/>
      <c r="D149" s="980"/>
      <c r="E149" s="980"/>
      <c r="F149" s="980"/>
      <c r="G149" s="980"/>
      <c r="H149" s="980"/>
      <c r="I149" s="980"/>
      <c r="J149" s="980"/>
      <c r="K149" s="980"/>
      <c r="L149" s="980"/>
      <c r="M149" s="980"/>
      <c r="N149" s="980"/>
      <c r="O149" s="980"/>
      <c r="P149" s="980"/>
      <c r="S149" s="790"/>
    </row>
    <row r="150" spans="1:19" x14ac:dyDescent="0.2">
      <c r="A150" s="980" t="str">
        <f>A3</f>
        <v>For the 12 Months Ended December 31, 2017</v>
      </c>
      <c r="B150" s="980"/>
      <c r="C150" s="980"/>
      <c r="D150" s="980"/>
      <c r="E150" s="980"/>
      <c r="F150" s="980"/>
      <c r="G150" s="980"/>
      <c r="H150" s="980"/>
      <c r="I150" s="980"/>
      <c r="J150" s="980"/>
      <c r="K150" s="980"/>
      <c r="L150" s="980"/>
      <c r="M150" s="980"/>
      <c r="N150" s="980"/>
      <c r="O150" s="980"/>
      <c r="P150" s="980"/>
      <c r="S150" s="790"/>
    </row>
    <row r="151" spans="1:19" x14ac:dyDescent="0.2">
      <c r="A151" s="301"/>
      <c r="B151" s="301"/>
      <c r="C151" s="302"/>
      <c r="D151" s="301"/>
      <c r="E151" s="302"/>
      <c r="F151" s="302"/>
      <c r="G151" s="302"/>
      <c r="H151" s="301"/>
      <c r="I151" s="301"/>
      <c r="J151" s="301"/>
      <c r="K151" s="301"/>
      <c r="L151" s="301"/>
      <c r="M151" s="301"/>
      <c r="N151" s="301"/>
      <c r="O151" s="301"/>
      <c r="P151" s="301"/>
      <c r="S151" s="790"/>
    </row>
    <row r="152" spans="1:19" x14ac:dyDescent="0.2">
      <c r="A152" s="581" t="str">
        <f>$A$5</f>
        <v>Data: __ Base Period_X_Forecasted Period</v>
      </c>
      <c r="B152" s="301"/>
      <c r="C152" s="225"/>
      <c r="D152" s="225"/>
      <c r="E152" s="225"/>
      <c r="F152" s="225"/>
      <c r="G152" s="302"/>
      <c r="H152" s="301"/>
      <c r="I152" s="301"/>
      <c r="J152" s="301"/>
      <c r="K152" s="301"/>
      <c r="L152" s="301"/>
      <c r="M152" s="301"/>
      <c r="N152" s="301"/>
      <c r="O152" s="301"/>
      <c r="P152" s="301"/>
      <c r="S152" s="790"/>
    </row>
    <row r="153" spans="1:19" x14ac:dyDescent="0.2">
      <c r="A153" s="581" t="str">
        <f>$A$6</f>
        <v>Type of Filing: X Original _ Update _ Revised</v>
      </c>
      <c r="B153" s="301"/>
      <c r="C153" s="225"/>
      <c r="D153" s="225"/>
      <c r="E153" s="225"/>
      <c r="F153" s="225"/>
      <c r="G153" s="302"/>
      <c r="H153" s="301"/>
      <c r="I153" s="301"/>
      <c r="J153" s="301"/>
      <c r="K153" s="301"/>
      <c r="L153" s="301"/>
      <c r="M153" s="301"/>
      <c r="N153" s="301"/>
      <c r="O153" s="301"/>
      <c r="P153" s="301"/>
      <c r="S153" s="790"/>
    </row>
    <row r="154" spans="1:19" x14ac:dyDescent="0.2">
      <c r="A154" s="581" t="str">
        <f>$A$7</f>
        <v>Work Paper Reference No(s):</v>
      </c>
      <c r="B154" s="301"/>
      <c r="C154" s="225"/>
      <c r="D154" s="225"/>
      <c r="E154" s="225"/>
      <c r="F154" s="225"/>
      <c r="G154" s="302"/>
      <c r="H154" s="301"/>
      <c r="I154" s="301"/>
      <c r="J154" s="301"/>
      <c r="K154" s="301"/>
      <c r="L154" s="301"/>
      <c r="M154" s="301"/>
      <c r="N154" s="301"/>
      <c r="O154" s="301"/>
      <c r="P154" s="582" t="str">
        <f>$P$7</f>
        <v>Workpaper WPM-B.2</v>
      </c>
      <c r="S154" s="790"/>
    </row>
    <row r="155" spans="1:19" x14ac:dyDescent="0.2">
      <c r="A155" s="664" t="str">
        <f>$A$8</f>
        <v>12 Months Forecasted</v>
      </c>
      <c r="B155" s="788"/>
      <c r="C155" s="225"/>
      <c r="D155" s="665"/>
      <c r="E155" s="788"/>
      <c r="F155" s="585"/>
      <c r="G155" s="586"/>
      <c r="H155" s="585"/>
      <c r="I155" s="587"/>
      <c r="J155" s="585"/>
      <c r="K155" s="585"/>
      <c r="L155" s="585"/>
      <c r="M155" s="585"/>
      <c r="N155" s="585"/>
      <c r="O155" s="585"/>
      <c r="P155" s="588" t="s">
        <v>461</v>
      </c>
      <c r="S155" s="790"/>
    </row>
    <row r="156" spans="1:19" x14ac:dyDescent="0.2">
      <c r="A156" s="649"/>
      <c r="B156" s="478"/>
      <c r="C156" s="650"/>
      <c r="D156" s="498"/>
      <c r="E156" s="498"/>
      <c r="F156" s="498"/>
      <c r="G156" s="498"/>
      <c r="H156" s="498"/>
      <c r="I156" s="498"/>
      <c r="J156" s="498"/>
      <c r="K156" s="498"/>
      <c r="L156" s="498"/>
      <c r="M156" s="498"/>
      <c r="N156" s="498"/>
      <c r="O156" s="498"/>
      <c r="P156" s="652"/>
      <c r="S156" s="790"/>
    </row>
    <row r="157" spans="1:19" x14ac:dyDescent="0.2">
      <c r="A157" s="788" t="s">
        <v>1</v>
      </c>
      <c r="B157" s="788"/>
      <c r="C157" s="225"/>
      <c r="D157" s="665"/>
      <c r="E157" s="788"/>
      <c r="F157" s="585"/>
      <c r="G157" s="586"/>
      <c r="H157" s="585"/>
      <c r="I157" s="587"/>
      <c r="J157" s="585"/>
      <c r="K157" s="585"/>
      <c r="L157" s="585"/>
      <c r="M157" s="585"/>
      <c r="N157" s="585"/>
      <c r="O157" s="585"/>
      <c r="P157" s="585"/>
      <c r="S157" s="790"/>
    </row>
    <row r="158" spans="1:19" x14ac:dyDescent="0.2">
      <c r="A158" s="227" t="s">
        <v>3</v>
      </c>
      <c r="B158" s="227" t="s">
        <v>4</v>
      </c>
      <c r="C158" s="258" t="s">
        <v>186</v>
      </c>
      <c r="D158" s="666" t="str">
        <f>$D$11</f>
        <v>Jan-17</v>
      </c>
      <c r="E158" s="666" t="str">
        <f>$E$11</f>
        <v>Feb-17</v>
      </c>
      <c r="F158" s="666" t="str">
        <f>$F$11</f>
        <v>Mar-17</v>
      </c>
      <c r="G158" s="666" t="str">
        <f>$G$11</f>
        <v>Apr-17</v>
      </c>
      <c r="H158" s="666" t="str">
        <f>$H$11</f>
        <v>May-17</v>
      </c>
      <c r="I158" s="666" t="str">
        <f>$I$11</f>
        <v>Jun-17</v>
      </c>
      <c r="J158" s="666" t="str">
        <f>$J$11</f>
        <v>Jul-17</v>
      </c>
      <c r="K158" s="666" t="str">
        <f>$K$11</f>
        <v>Aug-17</v>
      </c>
      <c r="L158" s="666" t="str">
        <f>$L$11</f>
        <v>Sep-17</v>
      </c>
      <c r="M158" s="666" t="str">
        <f>$M$11</f>
        <v>Oct-17</v>
      </c>
      <c r="N158" s="666" t="str">
        <f>$N$11</f>
        <v>Nov-17</v>
      </c>
      <c r="O158" s="666" t="str">
        <f>$O$11</f>
        <v>Dec-17</v>
      </c>
      <c r="P158" s="666" t="s">
        <v>9</v>
      </c>
      <c r="S158" s="790"/>
    </row>
    <row r="159" spans="1:19" x14ac:dyDescent="0.2">
      <c r="A159" s="788"/>
      <c r="B159" s="667" t="s">
        <v>42</v>
      </c>
      <c r="C159" s="658" t="s">
        <v>43</v>
      </c>
      <c r="D159" s="591" t="s">
        <v>45</v>
      </c>
      <c r="E159" s="591" t="s">
        <v>46</v>
      </c>
      <c r="F159" s="591" t="s">
        <v>49</v>
      </c>
      <c r="G159" s="591" t="s">
        <v>50</v>
      </c>
      <c r="H159" s="591" t="s">
        <v>51</v>
      </c>
      <c r="I159" s="591" t="s">
        <v>52</v>
      </c>
      <c r="J159" s="591" t="s">
        <v>53</v>
      </c>
      <c r="K159" s="592" t="s">
        <v>54</v>
      </c>
      <c r="L159" s="592" t="s">
        <v>55</v>
      </c>
      <c r="M159" s="592" t="s">
        <v>56</v>
      </c>
      <c r="N159" s="592" t="s">
        <v>57</v>
      </c>
      <c r="O159" s="592" t="s">
        <v>58</v>
      </c>
      <c r="P159" s="592" t="s">
        <v>59</v>
      </c>
      <c r="S159" s="790"/>
    </row>
    <row r="160" spans="1:19" x14ac:dyDescent="0.2">
      <c r="A160" s="788"/>
      <c r="B160" s="667"/>
      <c r="C160" s="658"/>
      <c r="D160" s="591"/>
      <c r="E160" s="591"/>
      <c r="F160" s="591"/>
      <c r="G160" s="591"/>
      <c r="H160" s="591"/>
      <c r="I160" s="591"/>
      <c r="J160" s="592"/>
      <c r="K160" s="592"/>
      <c r="L160" s="592"/>
      <c r="M160" s="592"/>
      <c r="N160" s="592"/>
      <c r="O160" s="592"/>
      <c r="P160" s="592"/>
      <c r="S160" s="790"/>
    </row>
    <row r="161" spans="1:19" x14ac:dyDescent="0.2">
      <c r="A161" s="649">
        <v>1</v>
      </c>
      <c r="B161" s="494" t="s">
        <v>266</v>
      </c>
      <c r="C161" s="658"/>
      <c r="D161" s="591"/>
      <c r="E161" s="591"/>
      <c r="F161" s="591"/>
      <c r="G161" s="591"/>
      <c r="H161" s="591"/>
      <c r="I161" s="591"/>
      <c r="J161" s="592"/>
      <c r="K161" s="592"/>
      <c r="L161" s="592"/>
      <c r="M161" s="592"/>
      <c r="N161" s="592"/>
      <c r="O161" s="592"/>
      <c r="P161" s="592"/>
      <c r="S161" s="229"/>
    </row>
    <row r="162" spans="1:19" x14ac:dyDescent="0.2">
      <c r="A162" s="649">
        <f>A161+1</f>
        <v>2</v>
      </c>
      <c r="B162" s="478" t="s">
        <v>288</v>
      </c>
      <c r="C162" s="650"/>
      <c r="D162" s="651">
        <v>23633</v>
      </c>
      <c r="E162" s="651">
        <v>23667</v>
      </c>
      <c r="F162" s="651">
        <v>23649</v>
      </c>
      <c r="G162" s="651">
        <v>23511</v>
      </c>
      <c r="H162" s="651">
        <v>23370</v>
      </c>
      <c r="I162" s="651">
        <v>23180</v>
      </c>
      <c r="J162" s="651">
        <v>23035</v>
      </c>
      <c r="K162" s="651">
        <v>22973</v>
      </c>
      <c r="L162" s="651">
        <v>22958</v>
      </c>
      <c r="M162" s="651">
        <v>23042</v>
      </c>
      <c r="N162" s="651">
        <v>23318</v>
      </c>
      <c r="O162" s="651">
        <v>23543</v>
      </c>
      <c r="P162" s="652">
        <f>SUM(D162:O162)</f>
        <v>279879</v>
      </c>
      <c r="S162" s="229"/>
    </row>
    <row r="163" spans="1:19" x14ac:dyDescent="0.2">
      <c r="A163" s="649">
        <f>A162+1</f>
        <v>3</v>
      </c>
      <c r="B163" s="685" t="s">
        <v>289</v>
      </c>
      <c r="C163" s="650"/>
      <c r="D163" s="654">
        <v>87</v>
      </c>
      <c r="E163" s="654">
        <v>118</v>
      </c>
      <c r="F163" s="654">
        <v>137</v>
      </c>
      <c r="G163" s="654">
        <v>183</v>
      </c>
      <c r="H163" s="654">
        <v>242</v>
      </c>
      <c r="I163" s="654">
        <v>206</v>
      </c>
      <c r="J163" s="654">
        <v>203</v>
      </c>
      <c r="K163" s="654">
        <v>250</v>
      </c>
      <c r="L163" s="654">
        <v>221</v>
      </c>
      <c r="M163" s="654">
        <v>146</v>
      </c>
      <c r="N163" s="654">
        <v>140</v>
      </c>
      <c r="O163" s="654">
        <v>134</v>
      </c>
      <c r="P163" s="303">
        <f>SUM(D163:O163)</f>
        <v>2067</v>
      </c>
      <c r="S163" s="229"/>
    </row>
    <row r="164" spans="1:19" x14ac:dyDescent="0.2">
      <c r="A164" s="649">
        <f>A163+1</f>
        <v>4</v>
      </c>
      <c r="B164" s="478" t="s">
        <v>259</v>
      </c>
      <c r="C164" s="650"/>
      <c r="D164" s="498">
        <f t="shared" ref="D164:O164" si="44">SUM(D162:D163)</f>
        <v>23720</v>
      </c>
      <c r="E164" s="498">
        <f t="shared" si="44"/>
        <v>23785</v>
      </c>
      <c r="F164" s="498">
        <f t="shared" si="44"/>
        <v>23786</v>
      </c>
      <c r="G164" s="498">
        <f t="shared" si="44"/>
        <v>23694</v>
      </c>
      <c r="H164" s="498">
        <f t="shared" si="44"/>
        <v>23612</v>
      </c>
      <c r="I164" s="498">
        <f t="shared" si="44"/>
        <v>23386</v>
      </c>
      <c r="J164" s="498">
        <f t="shared" si="44"/>
        <v>23238</v>
      </c>
      <c r="K164" s="498">
        <f t="shared" si="44"/>
        <v>23223</v>
      </c>
      <c r="L164" s="498">
        <f t="shared" si="44"/>
        <v>23179</v>
      </c>
      <c r="M164" s="498">
        <f t="shared" si="44"/>
        <v>23188</v>
      </c>
      <c r="N164" s="498">
        <f t="shared" si="44"/>
        <v>23458</v>
      </c>
      <c r="O164" s="498">
        <f t="shared" si="44"/>
        <v>23677</v>
      </c>
      <c r="P164" s="652">
        <f>SUM(D164:O164)</f>
        <v>281946</v>
      </c>
      <c r="S164" s="229"/>
    </row>
    <row r="165" spans="1:19" s="301" customFormat="1" x14ac:dyDescent="0.2">
      <c r="A165" s="649"/>
      <c r="B165" s="494"/>
      <c r="C165" s="686"/>
      <c r="D165" s="304"/>
      <c r="E165" s="304"/>
      <c r="F165" s="304"/>
      <c r="G165" s="304"/>
      <c r="H165" s="304"/>
      <c r="I165" s="304"/>
      <c r="J165" s="304"/>
      <c r="K165" s="302"/>
      <c r="L165" s="302"/>
      <c r="M165" s="302"/>
      <c r="N165" s="302"/>
      <c r="O165" s="302"/>
    </row>
    <row r="166" spans="1:19" x14ac:dyDescent="0.2">
      <c r="A166" s="649">
        <f>A164+1</f>
        <v>5</v>
      </c>
      <c r="B166" s="494" t="s">
        <v>267</v>
      </c>
      <c r="C166" s="658"/>
      <c r="D166" s="661"/>
      <c r="E166" s="661"/>
      <c r="F166" s="661"/>
      <c r="G166" s="661"/>
      <c r="H166" s="661"/>
      <c r="I166" s="661"/>
      <c r="J166" s="662"/>
      <c r="K166" s="662"/>
      <c r="L166" s="662"/>
      <c r="M166" s="662"/>
      <c r="N166" s="662"/>
      <c r="O166" s="662"/>
      <c r="P166" s="592"/>
      <c r="S166" s="229"/>
    </row>
    <row r="167" spans="1:19" x14ac:dyDescent="0.2">
      <c r="A167" s="649">
        <f>A166+1</f>
        <v>6</v>
      </c>
      <c r="B167" s="478" t="s">
        <v>288</v>
      </c>
      <c r="C167" s="650"/>
      <c r="D167" s="651">
        <v>3823</v>
      </c>
      <c r="E167" s="651">
        <v>3791</v>
      </c>
      <c r="F167" s="651">
        <v>4083</v>
      </c>
      <c r="G167" s="651">
        <v>4063</v>
      </c>
      <c r="H167" s="651">
        <v>4048</v>
      </c>
      <c r="I167" s="651">
        <v>4022</v>
      </c>
      <c r="J167" s="651">
        <v>3959</v>
      </c>
      <c r="K167" s="651">
        <v>3943</v>
      </c>
      <c r="L167" s="651">
        <v>3914</v>
      </c>
      <c r="M167" s="651">
        <v>3887</v>
      </c>
      <c r="N167" s="651">
        <v>3865</v>
      </c>
      <c r="O167" s="651">
        <v>3845</v>
      </c>
      <c r="P167" s="652">
        <f>SUM(D167:O167)</f>
        <v>47243</v>
      </c>
      <c r="S167" s="229"/>
    </row>
    <row r="168" spans="1:19" x14ac:dyDescent="0.2">
      <c r="A168" s="649">
        <f>A167+1</f>
        <v>7</v>
      </c>
      <c r="B168" s="478" t="s">
        <v>244</v>
      </c>
      <c r="C168" s="650" t="s">
        <v>363</v>
      </c>
      <c r="D168" s="653">
        <v>0</v>
      </c>
      <c r="E168" s="653">
        <v>0</v>
      </c>
      <c r="F168" s="653">
        <v>0</v>
      </c>
      <c r="G168" s="653">
        <v>0</v>
      </c>
      <c r="H168" s="653">
        <v>0</v>
      </c>
      <c r="I168" s="653">
        <v>0</v>
      </c>
      <c r="J168" s="653">
        <v>0</v>
      </c>
      <c r="K168" s="653">
        <v>0</v>
      </c>
      <c r="L168" s="653">
        <v>0</v>
      </c>
      <c r="M168" s="653">
        <v>0</v>
      </c>
      <c r="N168" s="653">
        <v>0</v>
      </c>
      <c r="O168" s="653">
        <v>0</v>
      </c>
      <c r="P168" s="304">
        <f>SUM(D168:O168)</f>
        <v>0</v>
      </c>
      <c r="S168" s="229"/>
    </row>
    <row r="169" spans="1:19" x14ac:dyDescent="0.2">
      <c r="A169" s="649">
        <f>A168+1</f>
        <v>8</v>
      </c>
      <c r="B169" s="478" t="s">
        <v>289</v>
      </c>
      <c r="C169" s="650"/>
      <c r="D169" s="654">
        <v>14</v>
      </c>
      <c r="E169" s="654">
        <v>18</v>
      </c>
      <c r="F169" s="654">
        <v>10</v>
      </c>
      <c r="G169" s="654">
        <v>18</v>
      </c>
      <c r="H169" s="654">
        <v>10</v>
      </c>
      <c r="I169" s="654">
        <v>20</v>
      </c>
      <c r="J169" s="654">
        <v>57</v>
      </c>
      <c r="K169" s="654">
        <v>13</v>
      </c>
      <c r="L169" s="654">
        <v>10</v>
      </c>
      <c r="M169" s="654">
        <v>12</v>
      </c>
      <c r="N169" s="654">
        <v>12</v>
      </c>
      <c r="O169" s="654">
        <v>8</v>
      </c>
      <c r="P169" s="303">
        <f>SUM(D169:O169)</f>
        <v>202</v>
      </c>
      <c r="S169" s="229"/>
    </row>
    <row r="170" spans="1:19" x14ac:dyDescent="0.2">
      <c r="A170" s="649">
        <f>A169+1</f>
        <v>9</v>
      </c>
      <c r="B170" s="478" t="s">
        <v>259</v>
      </c>
      <c r="C170" s="650"/>
      <c r="D170" s="498">
        <f t="shared" ref="D170:O170" si="45">SUM(D167:D169)</f>
        <v>3837</v>
      </c>
      <c r="E170" s="498">
        <f t="shared" si="45"/>
        <v>3809</v>
      </c>
      <c r="F170" s="498">
        <f t="shared" si="45"/>
        <v>4093</v>
      </c>
      <c r="G170" s="498">
        <f t="shared" si="45"/>
        <v>4081</v>
      </c>
      <c r="H170" s="498">
        <f t="shared" si="45"/>
        <v>4058</v>
      </c>
      <c r="I170" s="498">
        <f t="shared" si="45"/>
        <v>4042</v>
      </c>
      <c r="J170" s="498">
        <f t="shared" si="45"/>
        <v>4016</v>
      </c>
      <c r="K170" s="498">
        <f t="shared" si="45"/>
        <v>3956</v>
      </c>
      <c r="L170" s="498">
        <f t="shared" si="45"/>
        <v>3924</v>
      </c>
      <c r="M170" s="498">
        <f t="shared" si="45"/>
        <v>3899</v>
      </c>
      <c r="N170" s="498">
        <f t="shared" si="45"/>
        <v>3877</v>
      </c>
      <c r="O170" s="498">
        <f t="shared" si="45"/>
        <v>3853</v>
      </c>
      <c r="P170" s="652">
        <f>SUM(D170:O170)</f>
        <v>47445</v>
      </c>
      <c r="S170" s="229"/>
    </row>
    <row r="171" spans="1:19" s="301" customFormat="1" x14ac:dyDescent="0.2">
      <c r="A171" s="649"/>
      <c r="B171" s="494"/>
      <c r="C171" s="686"/>
      <c r="D171" s="304"/>
      <c r="E171" s="304"/>
      <c r="F171" s="304"/>
      <c r="G171" s="304"/>
      <c r="H171" s="304"/>
      <c r="I171" s="304"/>
      <c r="J171" s="304"/>
      <c r="K171" s="302"/>
      <c r="L171" s="302"/>
      <c r="M171" s="302"/>
      <c r="N171" s="302"/>
      <c r="O171" s="302"/>
    </row>
    <row r="172" spans="1:19" x14ac:dyDescent="0.2">
      <c r="A172" s="649">
        <f>A170+1</f>
        <v>10</v>
      </c>
      <c r="B172" s="494" t="s">
        <v>268</v>
      </c>
      <c r="C172" s="658"/>
      <c r="D172" s="661"/>
      <c r="E172" s="661"/>
      <c r="F172" s="661"/>
      <c r="G172" s="661"/>
      <c r="H172" s="661"/>
      <c r="I172" s="661"/>
      <c r="J172" s="662"/>
      <c r="K172" s="662"/>
      <c r="L172" s="662"/>
      <c r="M172" s="662"/>
      <c r="N172" s="662"/>
      <c r="O172" s="662"/>
      <c r="P172" s="592"/>
      <c r="S172" s="229"/>
    </row>
    <row r="173" spans="1:19" x14ac:dyDescent="0.2">
      <c r="A173" s="649">
        <f>A172+1</f>
        <v>11</v>
      </c>
      <c r="B173" s="478" t="s">
        <v>288</v>
      </c>
      <c r="C173" s="650"/>
      <c r="D173" s="651">
        <v>13</v>
      </c>
      <c r="E173" s="651">
        <v>13</v>
      </c>
      <c r="F173" s="651">
        <v>12</v>
      </c>
      <c r="G173" s="651">
        <v>12</v>
      </c>
      <c r="H173" s="651">
        <v>12</v>
      </c>
      <c r="I173" s="651">
        <v>12</v>
      </c>
      <c r="J173" s="651">
        <v>12</v>
      </c>
      <c r="K173" s="651">
        <v>12</v>
      </c>
      <c r="L173" s="651">
        <v>12</v>
      </c>
      <c r="M173" s="651">
        <v>12</v>
      </c>
      <c r="N173" s="651">
        <v>13</v>
      </c>
      <c r="O173" s="651">
        <v>13</v>
      </c>
      <c r="P173" s="652">
        <f>SUM(D173:O173)</f>
        <v>148</v>
      </c>
      <c r="S173" s="229"/>
    </row>
    <row r="174" spans="1:19" x14ac:dyDescent="0.2">
      <c r="A174" s="649">
        <f>A173+1</f>
        <v>12</v>
      </c>
      <c r="B174" s="478" t="s">
        <v>244</v>
      </c>
      <c r="C174" s="650" t="s">
        <v>363</v>
      </c>
      <c r="D174" s="653">
        <v>0</v>
      </c>
      <c r="E174" s="653">
        <v>0</v>
      </c>
      <c r="F174" s="653">
        <v>0</v>
      </c>
      <c r="G174" s="653">
        <v>0</v>
      </c>
      <c r="H174" s="653">
        <v>0</v>
      </c>
      <c r="I174" s="653">
        <v>0</v>
      </c>
      <c r="J174" s="653">
        <v>0</v>
      </c>
      <c r="K174" s="653">
        <v>0</v>
      </c>
      <c r="L174" s="653">
        <v>0</v>
      </c>
      <c r="M174" s="653">
        <v>0</v>
      </c>
      <c r="N174" s="653">
        <v>0</v>
      </c>
      <c r="O174" s="653">
        <v>0</v>
      </c>
      <c r="P174" s="304">
        <f>SUM(D174:O174)</f>
        <v>0</v>
      </c>
      <c r="S174" s="229"/>
    </row>
    <row r="175" spans="1:19" x14ac:dyDescent="0.2">
      <c r="A175" s="649">
        <f>A174+1</f>
        <v>13</v>
      </c>
      <c r="B175" s="478" t="s">
        <v>289</v>
      </c>
      <c r="C175" s="650"/>
      <c r="D175" s="654">
        <v>0</v>
      </c>
      <c r="E175" s="654">
        <v>0</v>
      </c>
      <c r="F175" s="654">
        <v>0</v>
      </c>
      <c r="G175" s="654">
        <v>1</v>
      </c>
      <c r="H175" s="654">
        <v>0</v>
      </c>
      <c r="I175" s="654">
        <v>0</v>
      </c>
      <c r="J175" s="654">
        <v>0</v>
      </c>
      <c r="K175" s="654">
        <v>0</v>
      </c>
      <c r="L175" s="654">
        <v>0</v>
      </c>
      <c r="M175" s="654">
        <v>0</v>
      </c>
      <c r="N175" s="654">
        <v>0</v>
      </c>
      <c r="O175" s="654">
        <v>0</v>
      </c>
      <c r="P175" s="303">
        <f>SUM(D175:O175)</f>
        <v>1</v>
      </c>
      <c r="S175" s="229"/>
    </row>
    <row r="176" spans="1:19" x14ac:dyDescent="0.2">
      <c r="A176" s="649">
        <f>A175+1</f>
        <v>14</v>
      </c>
      <c r="B176" s="478" t="s">
        <v>259</v>
      </c>
      <c r="C176" s="650"/>
      <c r="D176" s="498">
        <f t="shared" ref="D176:O176" si="46">SUM(D173:D175)</f>
        <v>13</v>
      </c>
      <c r="E176" s="498">
        <f t="shared" si="46"/>
        <v>13</v>
      </c>
      <c r="F176" s="498">
        <f t="shared" si="46"/>
        <v>12</v>
      </c>
      <c r="G176" s="498">
        <f t="shared" si="46"/>
        <v>13</v>
      </c>
      <c r="H176" s="498">
        <f t="shared" si="46"/>
        <v>12</v>
      </c>
      <c r="I176" s="498">
        <f t="shared" si="46"/>
        <v>12</v>
      </c>
      <c r="J176" s="498">
        <f t="shared" si="46"/>
        <v>12</v>
      </c>
      <c r="K176" s="498">
        <f t="shared" si="46"/>
        <v>12</v>
      </c>
      <c r="L176" s="498">
        <f t="shared" si="46"/>
        <v>12</v>
      </c>
      <c r="M176" s="498">
        <f t="shared" si="46"/>
        <v>12</v>
      </c>
      <c r="N176" s="498">
        <f t="shared" si="46"/>
        <v>13</v>
      </c>
      <c r="O176" s="498">
        <f t="shared" si="46"/>
        <v>13</v>
      </c>
      <c r="P176" s="652">
        <f>SUM(D176:O176)</f>
        <v>149</v>
      </c>
      <c r="S176" s="229"/>
    </row>
    <row r="177" spans="1:19" x14ac:dyDescent="0.2">
      <c r="A177" s="649"/>
      <c r="B177" s="478"/>
      <c r="C177" s="650"/>
      <c r="D177" s="498"/>
      <c r="E177" s="498"/>
      <c r="F177" s="498"/>
      <c r="G177" s="498"/>
      <c r="H177" s="498"/>
      <c r="I177" s="498"/>
      <c r="J177" s="498"/>
      <c r="K177" s="498"/>
      <c r="L177" s="498"/>
      <c r="M177" s="498"/>
      <c r="N177" s="498"/>
      <c r="O177" s="498"/>
      <c r="P177" s="652"/>
      <c r="S177" s="229"/>
    </row>
    <row r="178" spans="1:19" x14ac:dyDescent="0.2">
      <c r="A178" s="649">
        <f>A176+1</f>
        <v>15</v>
      </c>
      <c r="B178" s="494" t="s">
        <v>260</v>
      </c>
      <c r="C178" s="658"/>
      <c r="D178" s="591"/>
      <c r="E178" s="591"/>
      <c r="F178" s="591"/>
      <c r="G178" s="591"/>
      <c r="H178" s="591"/>
      <c r="I178" s="591"/>
      <c r="J178" s="592"/>
      <c r="K178" s="592"/>
      <c r="L178" s="592"/>
      <c r="M178" s="592"/>
      <c r="N178" s="592"/>
      <c r="O178" s="592"/>
      <c r="P178" s="592"/>
      <c r="S178" s="229"/>
    </row>
    <row r="179" spans="1:19" x14ac:dyDescent="0.2">
      <c r="A179" s="649">
        <f>A178+1</f>
        <v>16</v>
      </c>
      <c r="B179" s="478" t="s">
        <v>288</v>
      </c>
      <c r="C179" s="650"/>
      <c r="D179" s="651">
        <v>30</v>
      </c>
      <c r="E179" s="651">
        <v>30</v>
      </c>
      <c r="F179" s="651">
        <v>30</v>
      </c>
      <c r="G179" s="651">
        <v>30</v>
      </c>
      <c r="H179" s="651">
        <v>30</v>
      </c>
      <c r="I179" s="651">
        <v>30</v>
      </c>
      <c r="J179" s="651">
        <v>30</v>
      </c>
      <c r="K179" s="651">
        <v>30</v>
      </c>
      <c r="L179" s="651">
        <v>30</v>
      </c>
      <c r="M179" s="651">
        <v>30</v>
      </c>
      <c r="N179" s="651">
        <v>30</v>
      </c>
      <c r="O179" s="651">
        <v>30</v>
      </c>
      <c r="P179" s="652">
        <f>SUM(D179:O179)</f>
        <v>360</v>
      </c>
      <c r="S179" s="229"/>
    </row>
    <row r="180" spans="1:19" x14ac:dyDescent="0.2">
      <c r="A180" s="649">
        <f>A179+1</f>
        <v>17</v>
      </c>
      <c r="B180" s="478" t="s">
        <v>244</v>
      </c>
      <c r="C180" s="650" t="s">
        <v>363</v>
      </c>
      <c r="D180" s="304">
        <f>'D pg 1'!D17</f>
        <v>2</v>
      </c>
      <c r="E180" s="304">
        <f>'D pg 1'!E17</f>
        <v>2</v>
      </c>
      <c r="F180" s="304">
        <f>'D pg 1'!F17</f>
        <v>2</v>
      </c>
      <c r="G180" s="304">
        <f>'D pg 1'!G17</f>
        <v>2</v>
      </c>
      <c r="H180" s="304">
        <f>'D pg 1'!H17</f>
        <v>2</v>
      </c>
      <c r="I180" s="304">
        <f>'D pg 1'!I17</f>
        <v>2</v>
      </c>
      <c r="J180" s="304">
        <f>'D pg 1'!J17</f>
        <v>3</v>
      </c>
      <c r="K180" s="304">
        <f>'D pg 1'!K17</f>
        <v>3</v>
      </c>
      <c r="L180" s="304">
        <f>'D pg 1'!L17</f>
        <v>3</v>
      </c>
      <c r="M180" s="304">
        <f>'D pg 1'!M17</f>
        <v>3</v>
      </c>
      <c r="N180" s="304">
        <f>'D pg 1'!N17</f>
        <v>3</v>
      </c>
      <c r="O180" s="304">
        <f>'D pg 1'!P17</f>
        <v>30</v>
      </c>
      <c r="P180" s="304">
        <f>SUM(D180:O180)</f>
        <v>57</v>
      </c>
      <c r="S180" s="229"/>
    </row>
    <row r="181" spans="1:19" x14ac:dyDescent="0.2">
      <c r="A181" s="649">
        <f>A180+1</f>
        <v>18</v>
      </c>
      <c r="B181" s="478" t="s">
        <v>289</v>
      </c>
      <c r="C181" s="650"/>
      <c r="D181" s="654">
        <v>9</v>
      </c>
      <c r="E181" s="654">
        <v>0</v>
      </c>
      <c r="F181" s="654">
        <v>0</v>
      </c>
      <c r="G181" s="654">
        <v>0</v>
      </c>
      <c r="H181" s="654">
        <v>0</v>
      </c>
      <c r="I181" s="654">
        <v>0</v>
      </c>
      <c r="J181" s="654">
        <v>1</v>
      </c>
      <c r="K181" s="654">
        <v>0</v>
      </c>
      <c r="L181" s="654">
        <v>0</v>
      </c>
      <c r="M181" s="654">
        <v>0</v>
      </c>
      <c r="N181" s="654">
        <v>1</v>
      </c>
      <c r="O181" s="654">
        <v>0</v>
      </c>
      <c r="P181" s="303">
        <f>SUM(D181:O181)</f>
        <v>11</v>
      </c>
      <c r="S181" s="229"/>
    </row>
    <row r="182" spans="1:19" x14ac:dyDescent="0.2">
      <c r="A182" s="649">
        <f>A181+1</f>
        <v>19</v>
      </c>
      <c r="B182" s="478" t="s">
        <v>259</v>
      </c>
      <c r="C182" s="650"/>
      <c r="D182" s="498">
        <f t="shared" ref="D182:O182" si="47">SUM(D179:D181)</f>
        <v>41</v>
      </c>
      <c r="E182" s="498">
        <f t="shared" si="47"/>
        <v>32</v>
      </c>
      <c r="F182" s="498">
        <f t="shared" si="47"/>
        <v>32</v>
      </c>
      <c r="G182" s="498">
        <f t="shared" si="47"/>
        <v>32</v>
      </c>
      <c r="H182" s="498">
        <f t="shared" si="47"/>
        <v>32</v>
      </c>
      <c r="I182" s="498">
        <f t="shared" si="47"/>
        <v>32</v>
      </c>
      <c r="J182" s="498">
        <f t="shared" si="47"/>
        <v>34</v>
      </c>
      <c r="K182" s="498">
        <f t="shared" si="47"/>
        <v>33</v>
      </c>
      <c r="L182" s="498">
        <f t="shared" si="47"/>
        <v>33</v>
      </c>
      <c r="M182" s="498">
        <f t="shared" si="47"/>
        <v>33</v>
      </c>
      <c r="N182" s="498">
        <f t="shared" si="47"/>
        <v>34</v>
      </c>
      <c r="O182" s="498">
        <f t="shared" si="47"/>
        <v>60</v>
      </c>
      <c r="P182" s="652">
        <f>SUM(D182:O182)</f>
        <v>428</v>
      </c>
      <c r="S182" s="229"/>
    </row>
    <row r="183" spans="1:19" s="301" customFormat="1" x14ac:dyDescent="0.2">
      <c r="A183" s="649"/>
      <c r="B183" s="494"/>
      <c r="C183" s="686"/>
      <c r="D183" s="300"/>
      <c r="E183" s="300"/>
      <c r="F183" s="300"/>
      <c r="G183" s="300"/>
      <c r="H183" s="300"/>
      <c r="I183" s="300"/>
      <c r="J183" s="300"/>
    </row>
    <row r="184" spans="1:19" x14ac:dyDescent="0.2">
      <c r="A184" s="649">
        <f>A182+1</f>
        <v>20</v>
      </c>
      <c r="B184" s="494" t="s">
        <v>262</v>
      </c>
      <c r="C184" s="658"/>
      <c r="D184" s="591"/>
      <c r="E184" s="591"/>
      <c r="F184" s="591"/>
      <c r="G184" s="591"/>
      <c r="H184" s="591"/>
      <c r="I184" s="591"/>
      <c r="J184" s="592"/>
      <c r="K184" s="592"/>
      <c r="L184" s="592"/>
      <c r="M184" s="592"/>
      <c r="N184" s="592"/>
      <c r="O184" s="592"/>
      <c r="P184" s="592"/>
      <c r="S184" s="229"/>
    </row>
    <row r="185" spans="1:19" x14ac:dyDescent="0.2">
      <c r="A185" s="649">
        <f>A184+1</f>
        <v>21</v>
      </c>
      <c r="B185" s="478" t="s">
        <v>288</v>
      </c>
      <c r="C185" s="650"/>
      <c r="D185" s="651">
        <v>39</v>
      </c>
      <c r="E185" s="651">
        <v>39</v>
      </c>
      <c r="F185" s="651">
        <v>39</v>
      </c>
      <c r="G185" s="651">
        <v>39</v>
      </c>
      <c r="H185" s="651">
        <v>39</v>
      </c>
      <c r="I185" s="651">
        <v>39</v>
      </c>
      <c r="J185" s="651">
        <v>39</v>
      </c>
      <c r="K185" s="651">
        <v>39</v>
      </c>
      <c r="L185" s="651">
        <v>39</v>
      </c>
      <c r="M185" s="651">
        <v>39</v>
      </c>
      <c r="N185" s="651">
        <v>39</v>
      </c>
      <c r="O185" s="651">
        <v>39</v>
      </c>
      <c r="P185" s="652">
        <f>SUM(D185:O185)</f>
        <v>468</v>
      </c>
      <c r="S185" s="229"/>
    </row>
    <row r="186" spans="1:19" x14ac:dyDescent="0.2">
      <c r="A186" s="649">
        <f>A185+1</f>
        <v>22</v>
      </c>
      <c r="B186" s="478" t="s">
        <v>244</v>
      </c>
      <c r="C186" s="650" t="s">
        <v>363</v>
      </c>
      <c r="D186" s="304">
        <f>'D pg 1'!D20</f>
        <v>0</v>
      </c>
      <c r="E186" s="304">
        <f>'D pg 1'!E20</f>
        <v>0</v>
      </c>
      <c r="F186" s="304">
        <f>'D pg 1'!F20</f>
        <v>0</v>
      </c>
      <c r="G186" s="304">
        <f>'D pg 1'!G20</f>
        <v>0</v>
      </c>
      <c r="H186" s="304">
        <f>'D pg 1'!H20</f>
        <v>0</v>
      </c>
      <c r="I186" s="304">
        <f>'D pg 1'!I20</f>
        <v>0</v>
      </c>
      <c r="J186" s="304">
        <f>'D pg 1'!J20</f>
        <v>0</v>
      </c>
      <c r="K186" s="304">
        <f>'D pg 1'!K20</f>
        <v>0</v>
      </c>
      <c r="L186" s="304">
        <f>'D pg 1'!L20</f>
        <v>0</v>
      </c>
      <c r="M186" s="304">
        <f>'D pg 1'!M20</f>
        <v>0</v>
      </c>
      <c r="N186" s="304">
        <f>'D pg 1'!N20</f>
        <v>0</v>
      </c>
      <c r="O186" s="304">
        <f>'D pg 1'!O20</f>
        <v>0</v>
      </c>
      <c r="P186" s="304">
        <f>SUM(D186:O186)</f>
        <v>0</v>
      </c>
      <c r="S186" s="229"/>
    </row>
    <row r="187" spans="1:19" x14ac:dyDescent="0.2">
      <c r="A187" s="649">
        <f>A186+1</f>
        <v>23</v>
      </c>
      <c r="B187" s="478" t="s">
        <v>289</v>
      </c>
      <c r="C187" s="650"/>
      <c r="D187" s="654">
        <v>0</v>
      </c>
      <c r="E187" s="654">
        <v>0</v>
      </c>
      <c r="F187" s="654">
        <v>0</v>
      </c>
      <c r="G187" s="654">
        <v>0</v>
      </c>
      <c r="H187" s="654">
        <v>0</v>
      </c>
      <c r="I187" s="654">
        <v>0</v>
      </c>
      <c r="J187" s="654">
        <v>0</v>
      </c>
      <c r="K187" s="654">
        <v>0</v>
      </c>
      <c r="L187" s="654">
        <v>0</v>
      </c>
      <c r="M187" s="654">
        <v>0</v>
      </c>
      <c r="N187" s="654">
        <v>0</v>
      </c>
      <c r="O187" s="654">
        <v>0</v>
      </c>
      <c r="P187" s="303">
        <f>SUM(D187:O187)</f>
        <v>0</v>
      </c>
      <c r="S187" s="229"/>
    </row>
    <row r="188" spans="1:19" x14ac:dyDescent="0.2">
      <c r="A188" s="649">
        <f>A187+1</f>
        <v>24</v>
      </c>
      <c r="B188" s="478" t="s">
        <v>259</v>
      </c>
      <c r="C188" s="650"/>
      <c r="D188" s="498">
        <f t="shared" ref="D188:O188" si="48">SUM(D185:D187)</f>
        <v>39</v>
      </c>
      <c r="E188" s="498">
        <f t="shared" si="48"/>
        <v>39</v>
      </c>
      <c r="F188" s="498">
        <f t="shared" si="48"/>
        <v>39</v>
      </c>
      <c r="G188" s="498">
        <f t="shared" si="48"/>
        <v>39</v>
      </c>
      <c r="H188" s="498">
        <f t="shared" si="48"/>
        <v>39</v>
      </c>
      <c r="I188" s="498">
        <f t="shared" si="48"/>
        <v>39</v>
      </c>
      <c r="J188" s="498">
        <f t="shared" si="48"/>
        <v>39</v>
      </c>
      <c r="K188" s="498">
        <f t="shared" si="48"/>
        <v>39</v>
      </c>
      <c r="L188" s="498">
        <f t="shared" si="48"/>
        <v>39</v>
      </c>
      <c r="M188" s="498">
        <f t="shared" si="48"/>
        <v>39</v>
      </c>
      <c r="N188" s="498">
        <f t="shared" si="48"/>
        <v>39</v>
      </c>
      <c r="O188" s="498">
        <f t="shared" si="48"/>
        <v>39</v>
      </c>
      <c r="P188" s="652">
        <f>SUM(D188:O188)</f>
        <v>468</v>
      </c>
      <c r="S188" s="229"/>
    </row>
    <row r="189" spans="1:19" s="301" customFormat="1" x14ac:dyDescent="0.2">
      <c r="A189" s="649"/>
      <c r="B189" s="494"/>
      <c r="C189" s="686"/>
      <c r="D189" s="300"/>
      <c r="E189" s="300"/>
      <c r="F189" s="300"/>
      <c r="G189" s="300"/>
      <c r="H189" s="300"/>
      <c r="I189" s="300"/>
      <c r="J189" s="300"/>
    </row>
    <row r="190" spans="1:19" x14ac:dyDescent="0.2">
      <c r="A190" s="649">
        <f>A188+1</f>
        <v>25</v>
      </c>
      <c r="B190" s="494" t="s">
        <v>270</v>
      </c>
      <c r="C190" s="658"/>
      <c r="D190" s="591"/>
      <c r="E190" s="591"/>
      <c r="F190" s="591"/>
      <c r="G190" s="591"/>
      <c r="H190" s="591"/>
      <c r="I190" s="591"/>
      <c r="J190" s="592"/>
      <c r="K190" s="592"/>
      <c r="L190" s="592"/>
      <c r="M190" s="592"/>
      <c r="N190" s="592"/>
      <c r="O190" s="592"/>
      <c r="P190" s="592"/>
      <c r="S190" s="229"/>
    </row>
    <row r="191" spans="1:19" x14ac:dyDescent="0.2">
      <c r="A191" s="649">
        <f>A190+1</f>
        <v>26</v>
      </c>
      <c r="B191" s="478" t="s">
        <v>288</v>
      </c>
      <c r="C191" s="650"/>
      <c r="D191" s="651">
        <v>12</v>
      </c>
      <c r="E191" s="651">
        <v>12</v>
      </c>
      <c r="F191" s="651">
        <v>12</v>
      </c>
      <c r="G191" s="651">
        <v>12</v>
      </c>
      <c r="H191" s="651">
        <v>12</v>
      </c>
      <c r="I191" s="651">
        <v>12</v>
      </c>
      <c r="J191" s="651">
        <v>12</v>
      </c>
      <c r="K191" s="651">
        <v>12</v>
      </c>
      <c r="L191" s="651">
        <v>12</v>
      </c>
      <c r="M191" s="651">
        <v>12</v>
      </c>
      <c r="N191" s="651">
        <v>12</v>
      </c>
      <c r="O191" s="651">
        <v>12</v>
      </c>
      <c r="P191" s="652">
        <f>SUM(D191:O191)</f>
        <v>144</v>
      </c>
      <c r="S191" s="229"/>
    </row>
    <row r="192" spans="1:19" x14ac:dyDescent="0.2">
      <c r="A192" s="649">
        <f>A191+1</f>
        <v>27</v>
      </c>
      <c r="B192" s="478" t="s">
        <v>244</v>
      </c>
      <c r="C192" s="650" t="s">
        <v>363</v>
      </c>
      <c r="D192" s="687">
        <f>'D pg 1'!D18</f>
        <v>0</v>
      </c>
      <c r="E192" s="687">
        <f>'D pg 1'!E18</f>
        <v>0</v>
      </c>
      <c r="F192" s="687">
        <f>'D pg 1'!F18</f>
        <v>0</v>
      </c>
      <c r="G192" s="687">
        <f>'D pg 1'!G18</f>
        <v>0</v>
      </c>
      <c r="H192" s="687">
        <f>'D pg 1'!H18</f>
        <v>0</v>
      </c>
      <c r="I192" s="687">
        <f>'D pg 1'!I18</f>
        <v>0</v>
      </c>
      <c r="J192" s="687">
        <f>'D pg 1'!J18</f>
        <v>0</v>
      </c>
      <c r="K192" s="687">
        <f>'D pg 1'!K18</f>
        <v>0</v>
      </c>
      <c r="L192" s="687">
        <f>'D pg 1'!L18</f>
        <v>0</v>
      </c>
      <c r="M192" s="687">
        <f>'D pg 1'!M18</f>
        <v>0</v>
      </c>
      <c r="N192" s="687">
        <f>'D pg 1'!N18</f>
        <v>0</v>
      </c>
      <c r="O192" s="687">
        <f>'D pg 1'!O18</f>
        <v>0</v>
      </c>
      <c r="P192" s="304">
        <f>SUM(D192:O192)</f>
        <v>0</v>
      </c>
      <c r="S192" s="229"/>
    </row>
    <row r="193" spans="1:19" x14ac:dyDescent="0.2">
      <c r="A193" s="649">
        <f>A192+1</f>
        <v>28</v>
      </c>
      <c r="B193" s="478" t="s">
        <v>289</v>
      </c>
      <c r="C193" s="650"/>
      <c r="D193" s="654">
        <v>0</v>
      </c>
      <c r="E193" s="654">
        <v>0</v>
      </c>
      <c r="F193" s="654">
        <v>0</v>
      </c>
      <c r="G193" s="654">
        <v>0</v>
      </c>
      <c r="H193" s="654">
        <v>0</v>
      </c>
      <c r="I193" s="654">
        <v>0</v>
      </c>
      <c r="J193" s="654">
        <v>0</v>
      </c>
      <c r="K193" s="654">
        <v>0</v>
      </c>
      <c r="L193" s="654">
        <v>0</v>
      </c>
      <c r="M193" s="654">
        <v>0</v>
      </c>
      <c r="N193" s="654">
        <v>1</v>
      </c>
      <c r="O193" s="654">
        <v>0</v>
      </c>
      <c r="P193" s="303">
        <f>SUM(D193:O193)</f>
        <v>1</v>
      </c>
      <c r="S193" s="229"/>
    </row>
    <row r="194" spans="1:19" x14ac:dyDescent="0.2">
      <c r="A194" s="649">
        <f>A193+1</f>
        <v>29</v>
      </c>
      <c r="B194" s="478" t="s">
        <v>259</v>
      </c>
      <c r="C194" s="650"/>
      <c r="D194" s="498">
        <f t="shared" ref="D194:O194" si="49">SUM(D191:D193)</f>
        <v>12</v>
      </c>
      <c r="E194" s="498">
        <f t="shared" si="49"/>
        <v>12</v>
      </c>
      <c r="F194" s="498">
        <f t="shared" si="49"/>
        <v>12</v>
      </c>
      <c r="G194" s="498">
        <f t="shared" si="49"/>
        <v>12</v>
      </c>
      <c r="H194" s="498">
        <f t="shared" si="49"/>
        <v>12</v>
      </c>
      <c r="I194" s="498">
        <f t="shared" si="49"/>
        <v>12</v>
      </c>
      <c r="J194" s="498">
        <f t="shared" si="49"/>
        <v>12</v>
      </c>
      <c r="K194" s="498">
        <f t="shared" si="49"/>
        <v>12</v>
      </c>
      <c r="L194" s="498">
        <f t="shared" si="49"/>
        <v>12</v>
      </c>
      <c r="M194" s="498">
        <f t="shared" si="49"/>
        <v>12</v>
      </c>
      <c r="N194" s="498">
        <f t="shared" si="49"/>
        <v>13</v>
      </c>
      <c r="O194" s="498">
        <f t="shared" si="49"/>
        <v>12</v>
      </c>
      <c r="P194" s="652">
        <f>SUM(D194:O194)</f>
        <v>145</v>
      </c>
      <c r="S194" s="229"/>
    </row>
    <row r="195" spans="1:19" x14ac:dyDescent="0.2">
      <c r="A195" s="649"/>
      <c r="B195" s="478"/>
      <c r="C195" s="650"/>
      <c r="D195" s="498"/>
      <c r="E195" s="498"/>
      <c r="F195" s="498"/>
      <c r="G195" s="498"/>
      <c r="H195" s="498"/>
      <c r="I195" s="498"/>
      <c r="J195" s="498"/>
      <c r="K195" s="498"/>
      <c r="L195" s="498"/>
      <c r="M195" s="498"/>
      <c r="N195" s="498"/>
      <c r="O195" s="498"/>
      <c r="P195" s="652"/>
      <c r="S195" s="229"/>
    </row>
    <row r="196" spans="1:19" x14ac:dyDescent="0.2">
      <c r="A196" s="649">
        <f>A194+1</f>
        <v>30</v>
      </c>
      <c r="B196" s="494" t="s">
        <v>261</v>
      </c>
      <c r="C196" s="658"/>
      <c r="D196" s="591"/>
      <c r="E196" s="591"/>
      <c r="F196" s="591"/>
      <c r="G196" s="591"/>
      <c r="H196" s="591"/>
      <c r="I196" s="591"/>
      <c r="J196" s="592"/>
      <c r="K196" s="592"/>
      <c r="L196" s="592"/>
      <c r="M196" s="592"/>
      <c r="N196" s="592"/>
      <c r="O196" s="592"/>
      <c r="P196" s="592"/>
      <c r="S196" s="790"/>
    </row>
    <row r="197" spans="1:19" x14ac:dyDescent="0.2">
      <c r="A197" s="649">
        <f>A196+1</f>
        <v>31</v>
      </c>
      <c r="B197" s="478" t="s">
        <v>288</v>
      </c>
      <c r="C197" s="650"/>
      <c r="D197" s="651">
        <v>15</v>
      </c>
      <c r="E197" s="651">
        <v>15</v>
      </c>
      <c r="F197" s="651">
        <v>15</v>
      </c>
      <c r="G197" s="651">
        <v>15</v>
      </c>
      <c r="H197" s="651">
        <v>15</v>
      </c>
      <c r="I197" s="651">
        <v>15</v>
      </c>
      <c r="J197" s="651">
        <v>15</v>
      </c>
      <c r="K197" s="651">
        <v>15</v>
      </c>
      <c r="L197" s="651">
        <v>15</v>
      </c>
      <c r="M197" s="651">
        <v>15</v>
      </c>
      <c r="N197" s="651">
        <v>15</v>
      </c>
      <c r="O197" s="651">
        <v>15</v>
      </c>
      <c r="P197" s="652">
        <f>SUM(D197:O197)</f>
        <v>180</v>
      </c>
      <c r="S197" s="790"/>
    </row>
    <row r="198" spans="1:19" x14ac:dyDescent="0.2">
      <c r="A198" s="649">
        <f>A197+1</f>
        <v>32</v>
      </c>
      <c r="B198" s="478" t="s">
        <v>244</v>
      </c>
      <c r="C198" s="650" t="s">
        <v>363</v>
      </c>
      <c r="D198" s="304">
        <f>'D pg 1'!D19</f>
        <v>0</v>
      </c>
      <c r="E198" s="304">
        <f>'D pg 1'!E19</f>
        <v>0</v>
      </c>
      <c r="F198" s="304">
        <f>'D pg 1'!F19</f>
        <v>0</v>
      </c>
      <c r="G198" s="304">
        <f>'D pg 1'!G19</f>
        <v>0</v>
      </c>
      <c r="H198" s="304">
        <f>'D pg 1'!H19</f>
        <v>0</v>
      </c>
      <c r="I198" s="304">
        <f>'D pg 1'!I19</f>
        <v>0</v>
      </c>
      <c r="J198" s="304">
        <f>'D pg 1'!J19</f>
        <v>0</v>
      </c>
      <c r="K198" s="304">
        <f>'D pg 1'!K19</f>
        <v>0</v>
      </c>
      <c r="L198" s="304">
        <f>'D pg 1'!L19</f>
        <v>0</v>
      </c>
      <c r="M198" s="304">
        <f>'D pg 1'!M19</f>
        <v>0</v>
      </c>
      <c r="N198" s="304">
        <f>'D pg 1'!N19</f>
        <v>0</v>
      </c>
      <c r="O198" s="304">
        <f>'D pg 1'!O19</f>
        <v>0</v>
      </c>
      <c r="P198" s="304">
        <f>SUM(D198:O198)</f>
        <v>0</v>
      </c>
      <c r="S198" s="790"/>
    </row>
    <row r="199" spans="1:19" x14ac:dyDescent="0.2">
      <c r="A199" s="649">
        <f>A198+1</f>
        <v>33</v>
      </c>
      <c r="B199" s="478" t="s">
        <v>289</v>
      </c>
      <c r="C199" s="650"/>
      <c r="D199" s="654">
        <v>0</v>
      </c>
      <c r="E199" s="654">
        <v>0</v>
      </c>
      <c r="F199" s="654">
        <v>0</v>
      </c>
      <c r="G199" s="654">
        <v>0</v>
      </c>
      <c r="H199" s="654">
        <v>0</v>
      </c>
      <c r="I199" s="654">
        <v>0</v>
      </c>
      <c r="J199" s="654">
        <v>0</v>
      </c>
      <c r="K199" s="654">
        <v>0</v>
      </c>
      <c r="L199" s="654">
        <v>0</v>
      </c>
      <c r="M199" s="654">
        <v>0</v>
      </c>
      <c r="N199" s="654">
        <v>0</v>
      </c>
      <c r="O199" s="654">
        <v>0</v>
      </c>
      <c r="P199" s="303">
        <f>SUM(D199:O199)</f>
        <v>0</v>
      </c>
      <c r="S199" s="229"/>
    </row>
    <row r="200" spans="1:19" x14ac:dyDescent="0.2">
      <c r="A200" s="649">
        <f>A199+1</f>
        <v>34</v>
      </c>
      <c r="B200" s="478" t="s">
        <v>259</v>
      </c>
      <c r="C200" s="650"/>
      <c r="D200" s="498">
        <f t="shared" ref="D200:O200" si="50">SUM(D197:D199)</f>
        <v>15</v>
      </c>
      <c r="E200" s="498">
        <f t="shared" si="50"/>
        <v>15</v>
      </c>
      <c r="F200" s="498">
        <f t="shared" si="50"/>
        <v>15</v>
      </c>
      <c r="G200" s="498">
        <f t="shared" si="50"/>
        <v>15</v>
      </c>
      <c r="H200" s="498">
        <f t="shared" si="50"/>
        <v>15</v>
      </c>
      <c r="I200" s="498">
        <f t="shared" si="50"/>
        <v>15</v>
      </c>
      <c r="J200" s="498">
        <f t="shared" si="50"/>
        <v>15</v>
      </c>
      <c r="K200" s="498">
        <f t="shared" si="50"/>
        <v>15</v>
      </c>
      <c r="L200" s="498">
        <f t="shared" si="50"/>
        <v>15</v>
      </c>
      <c r="M200" s="498">
        <f t="shared" si="50"/>
        <v>15</v>
      </c>
      <c r="N200" s="498">
        <f t="shared" si="50"/>
        <v>15</v>
      </c>
      <c r="O200" s="498">
        <f t="shared" si="50"/>
        <v>15</v>
      </c>
      <c r="P200" s="652">
        <f>SUM(D200:O200)</f>
        <v>180</v>
      </c>
      <c r="S200" s="229"/>
    </row>
    <row r="201" spans="1:19" x14ac:dyDescent="0.2">
      <c r="C201" s="219"/>
      <c r="E201" s="219"/>
      <c r="F201" s="219"/>
      <c r="G201" s="219"/>
      <c r="S201" s="229"/>
    </row>
    <row r="202" spans="1:19" x14ac:dyDescent="0.2">
      <c r="C202" s="219"/>
      <c r="E202" s="219"/>
      <c r="F202" s="219"/>
      <c r="G202" s="219"/>
      <c r="S202" s="229"/>
    </row>
    <row r="203" spans="1:19" x14ac:dyDescent="0.2">
      <c r="C203" s="219"/>
      <c r="E203" s="219"/>
      <c r="F203" s="219"/>
      <c r="G203" s="219"/>
      <c r="S203" s="229"/>
    </row>
    <row r="204" spans="1:19" s="301" customFormat="1" x14ac:dyDescent="0.2">
      <c r="A204" s="649"/>
      <c r="B204" s="494"/>
      <c r="C204" s="686"/>
      <c r="D204" s="300"/>
      <c r="E204" s="300"/>
      <c r="F204" s="300"/>
      <c r="G204" s="300"/>
      <c r="H204" s="300"/>
      <c r="I204" s="300"/>
      <c r="J204" s="300"/>
    </row>
    <row r="205" spans="1:19" x14ac:dyDescent="0.2">
      <c r="A205" s="980" t="s">
        <v>36</v>
      </c>
      <c r="B205" s="980"/>
      <c r="C205" s="980"/>
      <c r="D205" s="980"/>
      <c r="E205" s="980"/>
      <c r="F205" s="980"/>
      <c r="G205" s="980"/>
      <c r="H205" s="980"/>
      <c r="I205" s="980"/>
      <c r="J205" s="980"/>
      <c r="K205" s="980"/>
      <c r="L205" s="980"/>
      <c r="M205" s="980"/>
      <c r="N205" s="980"/>
      <c r="O205" s="980"/>
      <c r="P205" s="980"/>
    </row>
    <row r="206" spans="1:19" x14ac:dyDescent="0.2">
      <c r="A206" s="980" t="s">
        <v>195</v>
      </c>
      <c r="B206" s="980"/>
      <c r="C206" s="980"/>
      <c r="D206" s="980"/>
      <c r="E206" s="980"/>
      <c r="F206" s="980"/>
      <c r="G206" s="980"/>
      <c r="H206" s="980"/>
      <c r="I206" s="980"/>
      <c r="J206" s="980"/>
      <c r="K206" s="980"/>
      <c r="L206" s="980"/>
      <c r="M206" s="980"/>
      <c r="N206" s="980"/>
      <c r="O206" s="980"/>
      <c r="P206" s="980"/>
    </row>
    <row r="207" spans="1:19" x14ac:dyDescent="0.2">
      <c r="A207" s="980" t="str">
        <f>A3</f>
        <v>For the 12 Months Ended December 31, 2017</v>
      </c>
      <c r="B207" s="980"/>
      <c r="C207" s="980"/>
      <c r="D207" s="980"/>
      <c r="E207" s="980"/>
      <c r="F207" s="980"/>
      <c r="G207" s="980"/>
      <c r="H207" s="980"/>
      <c r="I207" s="980"/>
      <c r="J207" s="980"/>
      <c r="K207" s="980"/>
      <c r="L207" s="980"/>
      <c r="M207" s="980"/>
      <c r="N207" s="980"/>
      <c r="O207" s="980"/>
      <c r="P207" s="980"/>
    </row>
    <row r="208" spans="1:19" x14ac:dyDescent="0.2">
      <c r="A208" s="301"/>
      <c r="B208" s="301"/>
      <c r="C208" s="302"/>
      <c r="D208" s="301"/>
      <c r="E208" s="302"/>
      <c r="F208" s="302"/>
      <c r="G208" s="302"/>
      <c r="H208" s="301"/>
      <c r="I208" s="301"/>
      <c r="J208" s="301"/>
      <c r="K208" s="301"/>
      <c r="L208" s="301"/>
      <c r="M208" s="301"/>
      <c r="N208" s="301"/>
      <c r="O208" s="301"/>
      <c r="P208" s="301"/>
    </row>
    <row r="209" spans="1:19" x14ac:dyDescent="0.2">
      <c r="A209" s="581" t="str">
        <f>$A$5</f>
        <v>Data: __ Base Period_X_Forecasted Period</v>
      </c>
      <c r="B209" s="301"/>
      <c r="C209" s="225"/>
      <c r="D209" s="225"/>
      <c r="E209" s="225"/>
      <c r="F209" s="225"/>
      <c r="G209" s="302"/>
      <c r="H209" s="301"/>
      <c r="I209" s="301"/>
      <c r="J209" s="301"/>
      <c r="K209" s="301"/>
      <c r="L209" s="301"/>
      <c r="M209" s="301"/>
      <c r="N209" s="301"/>
      <c r="O209" s="301"/>
      <c r="P209" s="301"/>
    </row>
    <row r="210" spans="1:19" x14ac:dyDescent="0.2">
      <c r="A210" s="581" t="str">
        <f>$A$6</f>
        <v>Type of Filing: X Original _ Update _ Revised</v>
      </c>
      <c r="B210" s="301"/>
      <c r="C210" s="225"/>
      <c r="D210" s="225"/>
      <c r="E210" s="225"/>
      <c r="F210" s="225"/>
      <c r="G210" s="302"/>
      <c r="H210" s="301"/>
      <c r="I210" s="301"/>
      <c r="J210" s="301"/>
      <c r="K210" s="301"/>
      <c r="L210" s="301"/>
      <c r="M210" s="301"/>
      <c r="N210" s="301"/>
      <c r="O210" s="301"/>
      <c r="P210" s="301"/>
    </row>
    <row r="211" spans="1:19" x14ac:dyDescent="0.2">
      <c r="A211" s="581" t="str">
        <f>$A$7</f>
        <v>Work Paper Reference No(s):</v>
      </c>
      <c r="B211" s="301"/>
      <c r="C211" s="225"/>
      <c r="D211" s="225"/>
      <c r="E211" s="225"/>
      <c r="F211" s="225"/>
      <c r="G211" s="302"/>
      <c r="H211" s="301"/>
      <c r="I211" s="301"/>
      <c r="J211" s="301"/>
      <c r="K211" s="301"/>
      <c r="L211" s="301"/>
      <c r="M211" s="301"/>
      <c r="N211" s="301"/>
      <c r="O211" s="301"/>
      <c r="P211" s="582" t="str">
        <f>$P$7</f>
        <v>Workpaper WPM-B.2</v>
      </c>
    </row>
    <row r="212" spans="1:19" x14ac:dyDescent="0.2">
      <c r="A212" s="664" t="str">
        <f>$A$8</f>
        <v>12 Months Forecasted</v>
      </c>
      <c r="B212" s="584"/>
      <c r="C212" s="225"/>
      <c r="D212" s="665"/>
      <c r="E212" s="584"/>
      <c r="F212" s="585"/>
      <c r="G212" s="586"/>
      <c r="H212" s="585"/>
      <c r="I212" s="587"/>
      <c r="J212" s="585"/>
      <c r="K212" s="585"/>
      <c r="L212" s="585"/>
      <c r="M212" s="585"/>
      <c r="N212" s="585"/>
      <c r="O212" s="585"/>
      <c r="P212" s="588" t="s">
        <v>459</v>
      </c>
      <c r="Q212" s="224"/>
      <c r="R212" s="224"/>
    </row>
    <row r="213" spans="1:19" x14ac:dyDescent="0.2">
      <c r="A213" s="649"/>
      <c r="B213" s="478"/>
      <c r="C213" s="650"/>
      <c r="D213" s="498"/>
      <c r="E213" s="498"/>
      <c r="F213" s="498"/>
      <c r="G213" s="498"/>
      <c r="H213" s="498"/>
      <c r="I213" s="498"/>
      <c r="J213" s="498"/>
      <c r="K213" s="498"/>
      <c r="L213" s="498"/>
      <c r="M213" s="498"/>
      <c r="N213" s="498"/>
      <c r="O213" s="498"/>
      <c r="P213" s="652"/>
      <c r="S213" s="229"/>
    </row>
    <row r="214" spans="1:19" x14ac:dyDescent="0.2">
      <c r="A214" s="584" t="s">
        <v>1</v>
      </c>
      <c r="B214" s="584"/>
      <c r="C214" s="225"/>
      <c r="D214" s="665"/>
      <c r="E214" s="584"/>
      <c r="F214" s="585"/>
      <c r="G214" s="586"/>
      <c r="H214" s="585"/>
      <c r="I214" s="587"/>
      <c r="J214" s="585"/>
      <c r="K214" s="585"/>
      <c r="L214" s="585"/>
      <c r="M214" s="585"/>
      <c r="N214" s="585"/>
      <c r="O214" s="585"/>
      <c r="P214" s="585"/>
      <c r="Q214" s="229"/>
      <c r="R214" s="229"/>
    </row>
    <row r="215" spans="1:19" x14ac:dyDescent="0.2">
      <c r="A215" s="227" t="s">
        <v>3</v>
      </c>
      <c r="B215" s="227" t="s">
        <v>4</v>
      </c>
      <c r="C215" s="258" t="s">
        <v>186</v>
      </c>
      <c r="D215" s="666" t="str">
        <f>$D$11</f>
        <v>Jan-17</v>
      </c>
      <c r="E215" s="666" t="str">
        <f>$E$11</f>
        <v>Feb-17</v>
      </c>
      <c r="F215" s="666" t="str">
        <f>$F$11</f>
        <v>Mar-17</v>
      </c>
      <c r="G215" s="666" t="str">
        <f>$G$11</f>
        <v>Apr-17</v>
      </c>
      <c r="H215" s="666" t="str">
        <f>$H$11</f>
        <v>May-17</v>
      </c>
      <c r="I215" s="666" t="str">
        <f>$I$11</f>
        <v>Jun-17</v>
      </c>
      <c r="J215" s="666" t="str">
        <f>$J$11</f>
        <v>Jul-17</v>
      </c>
      <c r="K215" s="666" t="str">
        <f>$K$11</f>
        <v>Aug-17</v>
      </c>
      <c r="L215" s="666" t="str">
        <f>$L$11</f>
        <v>Sep-17</v>
      </c>
      <c r="M215" s="666" t="str">
        <f>$M$11</f>
        <v>Oct-17</v>
      </c>
      <c r="N215" s="666" t="str">
        <f>$N$11</f>
        <v>Nov-17</v>
      </c>
      <c r="O215" s="666" t="str">
        <f>$O$11</f>
        <v>Dec-17</v>
      </c>
      <c r="P215" s="666" t="s">
        <v>9</v>
      </c>
      <c r="S215" s="282"/>
    </row>
    <row r="216" spans="1:19" x14ac:dyDescent="0.2">
      <c r="A216" s="584"/>
      <c r="B216" s="667" t="s">
        <v>42</v>
      </c>
      <c r="C216" s="658" t="s">
        <v>43</v>
      </c>
      <c r="D216" s="591" t="s">
        <v>45</v>
      </c>
      <c r="E216" s="591" t="s">
        <v>46</v>
      </c>
      <c r="F216" s="591" t="s">
        <v>49</v>
      </c>
      <c r="G216" s="591" t="s">
        <v>50</v>
      </c>
      <c r="H216" s="591" t="s">
        <v>51</v>
      </c>
      <c r="I216" s="591" t="s">
        <v>52</v>
      </c>
      <c r="J216" s="591" t="s">
        <v>53</v>
      </c>
      <c r="K216" s="592" t="s">
        <v>54</v>
      </c>
      <c r="L216" s="592" t="s">
        <v>55</v>
      </c>
      <c r="M216" s="592" t="s">
        <v>56</v>
      </c>
      <c r="N216" s="592" t="s">
        <v>57</v>
      </c>
      <c r="O216" s="592" t="s">
        <v>58</v>
      </c>
      <c r="P216" s="592" t="s">
        <v>59</v>
      </c>
      <c r="S216" s="229"/>
    </row>
    <row r="217" spans="1:19" x14ac:dyDescent="0.2">
      <c r="A217" s="584"/>
      <c r="B217" s="667"/>
      <c r="C217" s="658"/>
      <c r="D217" s="591"/>
      <c r="E217" s="591"/>
      <c r="F217" s="591"/>
      <c r="G217" s="591"/>
      <c r="H217" s="591"/>
      <c r="I217" s="591"/>
      <c r="J217" s="592"/>
      <c r="K217" s="592"/>
      <c r="L217" s="592"/>
      <c r="M217" s="592"/>
      <c r="N217" s="592"/>
      <c r="O217" s="592"/>
      <c r="P217" s="592"/>
      <c r="S217" s="229"/>
    </row>
    <row r="218" spans="1:19" x14ac:dyDescent="0.2">
      <c r="A218" s="649">
        <v>1</v>
      </c>
      <c r="B218" s="494" t="s">
        <v>271</v>
      </c>
      <c r="C218" s="658"/>
      <c r="D218" s="591"/>
      <c r="E218" s="591"/>
      <c r="F218" s="591"/>
      <c r="G218" s="591"/>
      <c r="H218" s="591"/>
      <c r="I218" s="591"/>
      <c r="J218" s="592"/>
      <c r="K218" s="592"/>
      <c r="L218" s="592"/>
      <c r="M218" s="592"/>
      <c r="N218" s="592"/>
      <c r="O218" s="592"/>
      <c r="P218" s="592"/>
      <c r="S218" s="229"/>
    </row>
    <row r="219" spans="1:19" x14ac:dyDescent="0.2">
      <c r="A219" s="649">
        <f>A218+1</f>
        <v>2</v>
      </c>
      <c r="B219" s="478" t="s">
        <v>288</v>
      </c>
      <c r="C219" s="650"/>
      <c r="D219" s="651">
        <v>3</v>
      </c>
      <c r="E219" s="651">
        <v>3</v>
      </c>
      <c r="F219" s="651">
        <v>3</v>
      </c>
      <c r="G219" s="651">
        <v>3</v>
      </c>
      <c r="H219" s="651">
        <v>3</v>
      </c>
      <c r="I219" s="651">
        <v>3</v>
      </c>
      <c r="J219" s="651">
        <v>3</v>
      </c>
      <c r="K219" s="651">
        <v>3</v>
      </c>
      <c r="L219" s="651">
        <v>3</v>
      </c>
      <c r="M219" s="651">
        <v>3</v>
      </c>
      <c r="N219" s="651">
        <v>3</v>
      </c>
      <c r="O219" s="651">
        <v>3</v>
      </c>
      <c r="P219" s="652">
        <f>SUM(D219:O219)</f>
        <v>36</v>
      </c>
      <c r="S219" s="229"/>
    </row>
    <row r="220" spans="1:19" x14ac:dyDescent="0.2">
      <c r="A220" s="649">
        <f>A219+1</f>
        <v>3</v>
      </c>
      <c r="B220" s="478" t="s">
        <v>244</v>
      </c>
      <c r="C220" s="650" t="s">
        <v>363</v>
      </c>
      <c r="D220" s="653">
        <v>0</v>
      </c>
      <c r="E220" s="653">
        <v>0</v>
      </c>
      <c r="F220" s="653">
        <v>0</v>
      </c>
      <c r="G220" s="653">
        <v>0</v>
      </c>
      <c r="H220" s="653">
        <v>0</v>
      </c>
      <c r="I220" s="653">
        <v>0</v>
      </c>
      <c r="J220" s="653">
        <v>0</v>
      </c>
      <c r="K220" s="653">
        <v>0</v>
      </c>
      <c r="L220" s="653">
        <v>0</v>
      </c>
      <c r="M220" s="653">
        <v>0</v>
      </c>
      <c r="N220" s="653">
        <v>0</v>
      </c>
      <c r="O220" s="653">
        <v>0</v>
      </c>
      <c r="P220" s="304">
        <f>SUM(D220:O220)</f>
        <v>0</v>
      </c>
      <c r="S220" s="229"/>
    </row>
    <row r="221" spans="1:19" x14ac:dyDescent="0.2">
      <c r="A221" s="649">
        <f>A220+1</f>
        <v>4</v>
      </c>
      <c r="B221" s="478" t="s">
        <v>289</v>
      </c>
      <c r="C221" s="650"/>
      <c r="D221" s="654">
        <v>0</v>
      </c>
      <c r="E221" s="654">
        <v>0</v>
      </c>
      <c r="F221" s="654">
        <v>0</v>
      </c>
      <c r="G221" s="654">
        <v>0</v>
      </c>
      <c r="H221" s="654">
        <v>0</v>
      </c>
      <c r="I221" s="654">
        <v>0</v>
      </c>
      <c r="J221" s="654">
        <v>0</v>
      </c>
      <c r="K221" s="654">
        <v>0</v>
      </c>
      <c r="L221" s="654">
        <v>0</v>
      </c>
      <c r="M221" s="654">
        <v>0</v>
      </c>
      <c r="N221" s="654">
        <v>0</v>
      </c>
      <c r="O221" s="654">
        <v>0</v>
      </c>
      <c r="P221" s="303">
        <f>SUM(D221:O221)</f>
        <v>0</v>
      </c>
      <c r="S221" s="229"/>
    </row>
    <row r="222" spans="1:19" x14ac:dyDescent="0.2">
      <c r="A222" s="649">
        <f>A221+1</f>
        <v>5</v>
      </c>
      <c r="B222" s="478" t="s">
        <v>259</v>
      </c>
      <c r="C222" s="650"/>
      <c r="D222" s="498">
        <f t="shared" ref="D222:O222" si="51">SUM(D219:D221)</f>
        <v>3</v>
      </c>
      <c r="E222" s="498">
        <f t="shared" si="51"/>
        <v>3</v>
      </c>
      <c r="F222" s="498">
        <f t="shared" si="51"/>
        <v>3</v>
      </c>
      <c r="G222" s="498">
        <f t="shared" si="51"/>
        <v>3</v>
      </c>
      <c r="H222" s="498">
        <f t="shared" si="51"/>
        <v>3</v>
      </c>
      <c r="I222" s="498">
        <f t="shared" si="51"/>
        <v>3</v>
      </c>
      <c r="J222" s="498">
        <f t="shared" si="51"/>
        <v>3</v>
      </c>
      <c r="K222" s="498">
        <f t="shared" si="51"/>
        <v>3</v>
      </c>
      <c r="L222" s="498">
        <f t="shared" si="51"/>
        <v>3</v>
      </c>
      <c r="M222" s="498">
        <f t="shared" si="51"/>
        <v>3</v>
      </c>
      <c r="N222" s="498">
        <f t="shared" si="51"/>
        <v>3</v>
      </c>
      <c r="O222" s="498">
        <f t="shared" si="51"/>
        <v>3</v>
      </c>
      <c r="P222" s="652">
        <f>SUM(D222:O222)</f>
        <v>36</v>
      </c>
      <c r="S222" s="229"/>
    </row>
    <row r="223" spans="1:19" x14ac:dyDescent="0.2">
      <c r="A223" s="649"/>
      <c r="B223" s="478"/>
      <c r="C223" s="650"/>
      <c r="D223" s="498"/>
      <c r="E223" s="498"/>
      <c r="F223" s="498"/>
      <c r="G223" s="498"/>
      <c r="H223" s="498"/>
      <c r="I223" s="498"/>
      <c r="J223" s="498"/>
      <c r="K223" s="498"/>
      <c r="L223" s="498"/>
      <c r="M223" s="498"/>
      <c r="N223" s="498"/>
      <c r="O223" s="498"/>
      <c r="P223" s="652"/>
      <c r="S223" s="229"/>
    </row>
    <row r="224" spans="1:19" x14ac:dyDescent="0.2">
      <c r="A224" s="649">
        <f>A222+1</f>
        <v>6</v>
      </c>
      <c r="B224" s="494" t="s">
        <v>272</v>
      </c>
      <c r="C224" s="658"/>
      <c r="D224" s="661"/>
      <c r="E224" s="661"/>
      <c r="F224" s="661"/>
      <c r="G224" s="661"/>
      <c r="H224" s="661"/>
      <c r="I224" s="661"/>
      <c r="J224" s="662"/>
      <c r="K224" s="662"/>
      <c r="L224" s="662"/>
      <c r="M224" s="662"/>
      <c r="N224" s="662"/>
      <c r="O224" s="662"/>
      <c r="P224" s="592"/>
      <c r="S224" s="229"/>
    </row>
    <row r="225" spans="1:19" x14ac:dyDescent="0.2">
      <c r="A225" s="649">
        <f>A224+1</f>
        <v>7</v>
      </c>
      <c r="B225" s="478" t="s">
        <v>288</v>
      </c>
      <c r="C225" s="650"/>
      <c r="D225" s="651">
        <v>1</v>
      </c>
      <c r="E225" s="651">
        <v>1</v>
      </c>
      <c r="F225" s="651">
        <v>1</v>
      </c>
      <c r="G225" s="651">
        <v>1</v>
      </c>
      <c r="H225" s="651">
        <v>1</v>
      </c>
      <c r="I225" s="651">
        <v>1</v>
      </c>
      <c r="J225" s="651">
        <v>1</v>
      </c>
      <c r="K225" s="651">
        <v>1</v>
      </c>
      <c r="L225" s="651">
        <v>1</v>
      </c>
      <c r="M225" s="651">
        <v>1</v>
      </c>
      <c r="N225" s="651">
        <v>1</v>
      </c>
      <c r="O225" s="651">
        <v>1</v>
      </c>
      <c r="P225" s="652">
        <f>SUM(D225:O225)</f>
        <v>12</v>
      </c>
      <c r="S225" s="229"/>
    </row>
    <row r="226" spans="1:19" x14ac:dyDescent="0.2">
      <c r="A226" s="649">
        <f>A225+1</f>
        <v>8</v>
      </c>
      <c r="B226" s="478" t="s">
        <v>244</v>
      </c>
      <c r="C226" s="650" t="s">
        <v>363</v>
      </c>
      <c r="D226" s="653">
        <v>0</v>
      </c>
      <c r="E226" s="653">
        <v>0</v>
      </c>
      <c r="F226" s="653">
        <v>0</v>
      </c>
      <c r="G226" s="653">
        <v>0</v>
      </c>
      <c r="H226" s="653">
        <v>0</v>
      </c>
      <c r="I226" s="653">
        <v>0</v>
      </c>
      <c r="J226" s="653">
        <v>0</v>
      </c>
      <c r="K226" s="653">
        <v>0</v>
      </c>
      <c r="L226" s="653">
        <v>0</v>
      </c>
      <c r="M226" s="653">
        <v>0</v>
      </c>
      <c r="N226" s="653">
        <v>0</v>
      </c>
      <c r="O226" s="653">
        <v>0</v>
      </c>
      <c r="P226" s="304">
        <f>SUM(D226:O226)</f>
        <v>0</v>
      </c>
      <c r="S226" s="229"/>
    </row>
    <row r="227" spans="1:19" x14ac:dyDescent="0.2">
      <c r="A227" s="649">
        <f>A226+1</f>
        <v>9</v>
      </c>
      <c r="B227" s="478" t="s">
        <v>289</v>
      </c>
      <c r="C227" s="650"/>
      <c r="D227" s="654">
        <v>0</v>
      </c>
      <c r="E227" s="654">
        <v>0</v>
      </c>
      <c r="F227" s="654">
        <v>0</v>
      </c>
      <c r="G227" s="654">
        <v>0</v>
      </c>
      <c r="H227" s="654">
        <v>0</v>
      </c>
      <c r="I227" s="654">
        <v>0</v>
      </c>
      <c r="J227" s="654">
        <v>0</v>
      </c>
      <c r="K227" s="654">
        <v>0</v>
      </c>
      <c r="L227" s="654">
        <v>0</v>
      </c>
      <c r="M227" s="654">
        <v>0</v>
      </c>
      <c r="N227" s="654">
        <v>0</v>
      </c>
      <c r="O227" s="654">
        <v>0</v>
      </c>
      <c r="P227" s="303">
        <f>SUM(D227:O227)</f>
        <v>0</v>
      </c>
      <c r="S227" s="229"/>
    </row>
    <row r="228" spans="1:19" x14ac:dyDescent="0.2">
      <c r="A228" s="649">
        <f>A227+1</f>
        <v>10</v>
      </c>
      <c r="B228" s="478" t="s">
        <v>259</v>
      </c>
      <c r="C228" s="650"/>
      <c r="D228" s="498">
        <f t="shared" ref="D228:O228" si="52">SUM(D225:D227)</f>
        <v>1</v>
      </c>
      <c r="E228" s="498">
        <f t="shared" si="52"/>
        <v>1</v>
      </c>
      <c r="F228" s="498">
        <f t="shared" si="52"/>
        <v>1</v>
      </c>
      <c r="G228" s="498">
        <f t="shared" si="52"/>
        <v>1</v>
      </c>
      <c r="H228" s="498">
        <f t="shared" si="52"/>
        <v>1</v>
      </c>
      <c r="I228" s="498">
        <f t="shared" si="52"/>
        <v>1</v>
      </c>
      <c r="J228" s="498">
        <f t="shared" si="52"/>
        <v>1</v>
      </c>
      <c r="K228" s="498">
        <f t="shared" si="52"/>
        <v>1</v>
      </c>
      <c r="L228" s="498">
        <f t="shared" si="52"/>
        <v>1</v>
      </c>
      <c r="M228" s="498">
        <f t="shared" si="52"/>
        <v>1</v>
      </c>
      <c r="N228" s="498">
        <f t="shared" si="52"/>
        <v>1</v>
      </c>
      <c r="O228" s="498">
        <f t="shared" si="52"/>
        <v>1</v>
      </c>
      <c r="P228" s="652">
        <f>SUM(D228:O228)</f>
        <v>12</v>
      </c>
      <c r="S228" s="229"/>
    </row>
    <row r="229" spans="1:19" x14ac:dyDescent="0.2">
      <c r="A229" s="649"/>
      <c r="B229" s="478"/>
      <c r="C229" s="650"/>
      <c r="D229" s="498"/>
      <c r="E229" s="498"/>
      <c r="F229" s="498"/>
      <c r="G229" s="498"/>
      <c r="H229" s="498"/>
      <c r="I229" s="498"/>
      <c r="J229" s="498"/>
      <c r="K229" s="498"/>
      <c r="L229" s="498"/>
      <c r="M229" s="498"/>
      <c r="N229" s="498"/>
      <c r="O229" s="498"/>
      <c r="P229" s="652"/>
      <c r="S229" s="229"/>
    </row>
    <row r="230" spans="1:19" x14ac:dyDescent="0.2">
      <c r="A230" s="649">
        <f>A228+1</f>
        <v>11</v>
      </c>
      <c r="B230" s="494" t="s">
        <v>273</v>
      </c>
      <c r="C230" s="658"/>
      <c r="D230" s="661"/>
      <c r="E230" s="661"/>
      <c r="F230" s="661"/>
      <c r="G230" s="661"/>
      <c r="H230" s="661"/>
      <c r="I230" s="661"/>
      <c r="J230" s="662"/>
      <c r="K230" s="662"/>
      <c r="L230" s="662"/>
      <c r="M230" s="662"/>
      <c r="N230" s="662"/>
      <c r="O230" s="662"/>
      <c r="P230" s="592"/>
      <c r="S230" s="229"/>
    </row>
    <row r="231" spans="1:19" x14ac:dyDescent="0.2">
      <c r="A231" s="649">
        <f>A230+1</f>
        <v>12</v>
      </c>
      <c r="B231" s="478" t="s">
        <v>288</v>
      </c>
      <c r="C231" s="650"/>
      <c r="D231" s="651">
        <v>1</v>
      </c>
      <c r="E231" s="651">
        <v>1</v>
      </c>
      <c r="F231" s="651">
        <v>1</v>
      </c>
      <c r="G231" s="651">
        <v>1</v>
      </c>
      <c r="H231" s="651">
        <v>1</v>
      </c>
      <c r="I231" s="651">
        <v>1</v>
      </c>
      <c r="J231" s="651">
        <v>1</v>
      </c>
      <c r="K231" s="651">
        <v>1</v>
      </c>
      <c r="L231" s="651">
        <v>1</v>
      </c>
      <c r="M231" s="651">
        <v>1</v>
      </c>
      <c r="N231" s="651">
        <v>1</v>
      </c>
      <c r="O231" s="651">
        <v>1</v>
      </c>
      <c r="P231" s="652">
        <f>SUM(D231:O231)</f>
        <v>12</v>
      </c>
      <c r="S231" s="229"/>
    </row>
    <row r="232" spans="1:19" x14ac:dyDescent="0.2">
      <c r="A232" s="649">
        <f>A231+1</f>
        <v>13</v>
      </c>
      <c r="B232" s="478" t="s">
        <v>244</v>
      </c>
      <c r="C232" s="650" t="s">
        <v>363</v>
      </c>
      <c r="D232" s="653">
        <v>0</v>
      </c>
      <c r="E232" s="653">
        <v>0</v>
      </c>
      <c r="F232" s="653">
        <v>0</v>
      </c>
      <c r="G232" s="653">
        <v>0</v>
      </c>
      <c r="H232" s="653">
        <v>0</v>
      </c>
      <c r="I232" s="653">
        <v>0</v>
      </c>
      <c r="J232" s="653">
        <v>0</v>
      </c>
      <c r="K232" s="653">
        <v>0</v>
      </c>
      <c r="L232" s="653">
        <v>0</v>
      </c>
      <c r="M232" s="653">
        <v>0</v>
      </c>
      <c r="N232" s="653">
        <v>0</v>
      </c>
      <c r="O232" s="653">
        <v>0</v>
      </c>
      <c r="P232" s="304">
        <f>SUM(D232:O232)</f>
        <v>0</v>
      </c>
      <c r="S232" s="229"/>
    </row>
    <row r="233" spans="1:19" x14ac:dyDescent="0.2">
      <c r="A233" s="649">
        <f>A232+1</f>
        <v>14</v>
      </c>
      <c r="B233" s="478" t="s">
        <v>289</v>
      </c>
      <c r="C233" s="650"/>
      <c r="D233" s="654">
        <v>0</v>
      </c>
      <c r="E233" s="654">
        <v>0</v>
      </c>
      <c r="F233" s="654">
        <v>0</v>
      </c>
      <c r="G233" s="654">
        <v>0</v>
      </c>
      <c r="H233" s="654">
        <v>0</v>
      </c>
      <c r="I233" s="654">
        <v>0</v>
      </c>
      <c r="J233" s="654">
        <v>0</v>
      </c>
      <c r="K233" s="654">
        <v>0</v>
      </c>
      <c r="L233" s="654">
        <v>0</v>
      </c>
      <c r="M233" s="654">
        <v>0</v>
      </c>
      <c r="N233" s="654">
        <v>0</v>
      </c>
      <c r="O233" s="654">
        <v>0</v>
      </c>
      <c r="P233" s="303">
        <f>SUM(D233:O233)</f>
        <v>0</v>
      </c>
      <c r="S233" s="229"/>
    </row>
    <row r="234" spans="1:19" x14ac:dyDescent="0.2">
      <c r="A234" s="649">
        <f>A233+1</f>
        <v>15</v>
      </c>
      <c r="B234" s="478" t="s">
        <v>259</v>
      </c>
      <c r="C234" s="650"/>
      <c r="D234" s="498">
        <f t="shared" ref="D234:O234" si="53">SUM(D231:D233)</f>
        <v>1</v>
      </c>
      <c r="E234" s="498">
        <f t="shared" si="53"/>
        <v>1</v>
      </c>
      <c r="F234" s="498">
        <f t="shared" si="53"/>
        <v>1</v>
      </c>
      <c r="G234" s="498">
        <f t="shared" si="53"/>
        <v>1</v>
      </c>
      <c r="H234" s="498">
        <f t="shared" si="53"/>
        <v>1</v>
      </c>
      <c r="I234" s="498">
        <f t="shared" si="53"/>
        <v>1</v>
      </c>
      <c r="J234" s="498">
        <f t="shared" si="53"/>
        <v>1</v>
      </c>
      <c r="K234" s="498">
        <f t="shared" si="53"/>
        <v>1</v>
      </c>
      <c r="L234" s="498">
        <f t="shared" si="53"/>
        <v>1</v>
      </c>
      <c r="M234" s="498">
        <f t="shared" si="53"/>
        <v>1</v>
      </c>
      <c r="N234" s="498">
        <f t="shared" si="53"/>
        <v>1</v>
      </c>
      <c r="O234" s="498">
        <f t="shared" si="53"/>
        <v>1</v>
      </c>
      <c r="P234" s="652">
        <f>SUM(D234:O234)</f>
        <v>12</v>
      </c>
      <c r="S234" s="229"/>
    </row>
    <row r="235" spans="1:19" x14ac:dyDescent="0.2">
      <c r="A235" s="649"/>
      <c r="B235" s="478"/>
      <c r="C235" s="650"/>
      <c r="D235" s="498"/>
      <c r="E235" s="498"/>
      <c r="F235" s="498"/>
      <c r="G235" s="498"/>
      <c r="H235" s="498"/>
      <c r="I235" s="498"/>
      <c r="J235" s="498"/>
      <c r="K235" s="498"/>
      <c r="L235" s="498"/>
      <c r="M235" s="498"/>
      <c r="N235" s="498"/>
      <c r="O235" s="498"/>
      <c r="P235" s="652"/>
      <c r="S235" s="229"/>
    </row>
    <row r="236" spans="1:19" x14ac:dyDescent="0.2">
      <c r="A236" s="649">
        <f>A234+1</f>
        <v>16</v>
      </c>
      <c r="B236" s="494" t="s">
        <v>274</v>
      </c>
      <c r="C236" s="658"/>
      <c r="D236" s="591"/>
      <c r="E236" s="591"/>
      <c r="F236" s="591"/>
      <c r="G236" s="591"/>
      <c r="H236" s="591"/>
      <c r="I236" s="591"/>
      <c r="J236" s="592"/>
      <c r="K236" s="592"/>
      <c r="L236" s="592"/>
      <c r="M236" s="592"/>
      <c r="N236" s="592"/>
      <c r="O236" s="592"/>
      <c r="P236" s="592"/>
      <c r="S236" s="229"/>
    </row>
    <row r="237" spans="1:19" x14ac:dyDescent="0.2">
      <c r="A237" s="649">
        <f>A236+1</f>
        <v>17</v>
      </c>
      <c r="B237" s="478" t="s">
        <v>288</v>
      </c>
      <c r="C237" s="650"/>
      <c r="D237" s="651">
        <v>3</v>
      </c>
      <c r="E237" s="651">
        <v>3</v>
      </c>
      <c r="F237" s="651">
        <v>3</v>
      </c>
      <c r="G237" s="651">
        <v>3</v>
      </c>
      <c r="H237" s="651">
        <v>3</v>
      </c>
      <c r="I237" s="651">
        <v>3</v>
      </c>
      <c r="J237" s="651">
        <v>3</v>
      </c>
      <c r="K237" s="651">
        <v>3</v>
      </c>
      <c r="L237" s="651">
        <v>3</v>
      </c>
      <c r="M237" s="651">
        <v>3</v>
      </c>
      <c r="N237" s="651">
        <v>3</v>
      </c>
      <c r="O237" s="651">
        <v>3</v>
      </c>
      <c r="P237" s="652">
        <f>SUM(D237:O237)</f>
        <v>36</v>
      </c>
      <c r="S237" s="229"/>
    </row>
    <row r="238" spans="1:19" x14ac:dyDescent="0.2">
      <c r="A238" s="649">
        <f>A237+1</f>
        <v>18</v>
      </c>
      <c r="B238" s="478" t="s">
        <v>244</v>
      </c>
      <c r="C238" s="650" t="s">
        <v>363</v>
      </c>
      <c r="D238" s="653">
        <v>0</v>
      </c>
      <c r="E238" s="653">
        <v>0</v>
      </c>
      <c r="F238" s="653">
        <v>0</v>
      </c>
      <c r="G238" s="653">
        <v>0</v>
      </c>
      <c r="H238" s="653">
        <v>0</v>
      </c>
      <c r="I238" s="653">
        <v>0</v>
      </c>
      <c r="J238" s="653">
        <v>0</v>
      </c>
      <c r="K238" s="653">
        <v>0</v>
      </c>
      <c r="L238" s="653">
        <v>0</v>
      </c>
      <c r="M238" s="653">
        <v>0</v>
      </c>
      <c r="N238" s="653">
        <v>0</v>
      </c>
      <c r="O238" s="653">
        <v>0</v>
      </c>
      <c r="P238" s="304">
        <f>SUM(D238:O238)</f>
        <v>0</v>
      </c>
      <c r="S238" s="229"/>
    </row>
    <row r="239" spans="1:19" x14ac:dyDescent="0.2">
      <c r="A239" s="649">
        <f>A238+1</f>
        <v>19</v>
      </c>
      <c r="B239" s="478" t="s">
        <v>289</v>
      </c>
      <c r="C239" s="650"/>
      <c r="D239" s="654">
        <v>0</v>
      </c>
      <c r="E239" s="654">
        <v>0</v>
      </c>
      <c r="F239" s="654">
        <v>0</v>
      </c>
      <c r="G239" s="654">
        <v>0</v>
      </c>
      <c r="H239" s="654">
        <v>0</v>
      </c>
      <c r="I239" s="654">
        <v>0</v>
      </c>
      <c r="J239" s="654">
        <v>0</v>
      </c>
      <c r="K239" s="654">
        <v>0</v>
      </c>
      <c r="L239" s="654">
        <v>0</v>
      </c>
      <c r="M239" s="654">
        <v>0</v>
      </c>
      <c r="N239" s="654">
        <v>0</v>
      </c>
      <c r="O239" s="654">
        <v>0</v>
      </c>
      <c r="P239" s="303">
        <f>SUM(D239:O239)</f>
        <v>0</v>
      </c>
      <c r="S239" s="229"/>
    </row>
    <row r="240" spans="1:19" x14ac:dyDescent="0.2">
      <c r="A240" s="649">
        <f>A239+1</f>
        <v>20</v>
      </c>
      <c r="B240" s="478" t="s">
        <v>259</v>
      </c>
      <c r="C240" s="650"/>
      <c r="D240" s="498">
        <f t="shared" ref="D240:O240" si="54">SUM(D237:D239)</f>
        <v>3</v>
      </c>
      <c r="E240" s="498">
        <f t="shared" si="54"/>
        <v>3</v>
      </c>
      <c r="F240" s="498">
        <f t="shared" si="54"/>
        <v>3</v>
      </c>
      <c r="G240" s="498">
        <f t="shared" si="54"/>
        <v>3</v>
      </c>
      <c r="H240" s="498">
        <f t="shared" si="54"/>
        <v>3</v>
      </c>
      <c r="I240" s="498">
        <f t="shared" si="54"/>
        <v>3</v>
      </c>
      <c r="J240" s="498">
        <f t="shared" si="54"/>
        <v>3</v>
      </c>
      <c r="K240" s="498">
        <f t="shared" si="54"/>
        <v>3</v>
      </c>
      <c r="L240" s="498">
        <f t="shared" si="54"/>
        <v>3</v>
      </c>
      <c r="M240" s="498">
        <f t="shared" si="54"/>
        <v>3</v>
      </c>
      <c r="N240" s="498">
        <f t="shared" si="54"/>
        <v>3</v>
      </c>
      <c r="O240" s="498">
        <f t="shared" si="54"/>
        <v>3</v>
      </c>
      <c r="P240" s="652">
        <f>SUM(D240:O240)</f>
        <v>36</v>
      </c>
      <c r="S240" s="229"/>
    </row>
    <row r="241" spans="1:19" x14ac:dyDescent="0.2">
      <c r="A241" s="649"/>
      <c r="B241" s="478"/>
      <c r="C241" s="650"/>
      <c r="D241" s="498"/>
      <c r="E241" s="498"/>
      <c r="F241" s="498"/>
      <c r="G241" s="498"/>
      <c r="H241" s="498"/>
      <c r="I241" s="498"/>
      <c r="J241" s="498"/>
      <c r="K241" s="498"/>
      <c r="L241" s="498"/>
      <c r="M241" s="498"/>
      <c r="N241" s="498"/>
      <c r="O241" s="498"/>
      <c r="P241" s="652"/>
      <c r="S241" s="229"/>
    </row>
    <row r="242" spans="1:19" x14ac:dyDescent="0.2">
      <c r="A242" s="649">
        <f>A240+1</f>
        <v>21</v>
      </c>
      <c r="B242" s="494" t="s">
        <v>275</v>
      </c>
      <c r="C242" s="658"/>
      <c r="D242" s="661"/>
      <c r="E242" s="661"/>
      <c r="F242" s="661"/>
      <c r="G242" s="661"/>
      <c r="H242" s="661"/>
      <c r="I242" s="661"/>
      <c r="J242" s="662"/>
      <c r="K242" s="662"/>
      <c r="L242" s="662"/>
      <c r="M242" s="662"/>
      <c r="N242" s="662"/>
      <c r="O242" s="662"/>
      <c r="P242" s="592"/>
      <c r="S242" s="229"/>
    </row>
    <row r="243" spans="1:19" x14ac:dyDescent="0.2">
      <c r="A243" s="649">
        <f>A242+1</f>
        <v>22</v>
      </c>
      <c r="B243" s="478" t="s">
        <v>288</v>
      </c>
      <c r="C243" s="650"/>
      <c r="D243" s="651">
        <v>1</v>
      </c>
      <c r="E243" s="651">
        <v>1</v>
      </c>
      <c r="F243" s="651">
        <v>1</v>
      </c>
      <c r="G243" s="651">
        <v>1</v>
      </c>
      <c r="H243" s="651">
        <v>1</v>
      </c>
      <c r="I243" s="651">
        <v>1</v>
      </c>
      <c r="J243" s="651">
        <v>1</v>
      </c>
      <c r="K243" s="651">
        <v>1</v>
      </c>
      <c r="L243" s="651">
        <v>1</v>
      </c>
      <c r="M243" s="651">
        <v>1</v>
      </c>
      <c r="N243" s="651">
        <v>1</v>
      </c>
      <c r="O243" s="651">
        <v>1</v>
      </c>
      <c r="P243" s="652">
        <f>SUM(D243:O243)</f>
        <v>12</v>
      </c>
      <c r="S243" s="229"/>
    </row>
    <row r="244" spans="1:19" x14ac:dyDescent="0.2">
      <c r="A244" s="649">
        <f>A243+1</f>
        <v>23</v>
      </c>
      <c r="B244" s="478" t="s">
        <v>244</v>
      </c>
      <c r="C244" s="650" t="s">
        <v>363</v>
      </c>
      <c r="D244" s="653">
        <v>0</v>
      </c>
      <c r="E244" s="653">
        <v>0</v>
      </c>
      <c r="F244" s="653">
        <v>0</v>
      </c>
      <c r="G244" s="653">
        <v>0</v>
      </c>
      <c r="H244" s="653">
        <v>0</v>
      </c>
      <c r="I244" s="653">
        <v>0</v>
      </c>
      <c r="J244" s="653">
        <v>0</v>
      </c>
      <c r="K244" s="653">
        <v>0</v>
      </c>
      <c r="L244" s="653">
        <v>0</v>
      </c>
      <c r="M244" s="653">
        <v>0</v>
      </c>
      <c r="N244" s="653">
        <v>0</v>
      </c>
      <c r="O244" s="653">
        <v>0</v>
      </c>
      <c r="P244" s="304">
        <f>SUM(D244:O244)</f>
        <v>0</v>
      </c>
      <c r="S244" s="229"/>
    </row>
    <row r="245" spans="1:19" x14ac:dyDescent="0.2">
      <c r="A245" s="649">
        <f>A244+1</f>
        <v>24</v>
      </c>
      <c r="B245" s="478" t="s">
        <v>289</v>
      </c>
      <c r="C245" s="650"/>
      <c r="D245" s="654">
        <v>0</v>
      </c>
      <c r="E245" s="654">
        <v>0</v>
      </c>
      <c r="F245" s="654">
        <v>0</v>
      </c>
      <c r="G245" s="654">
        <v>0</v>
      </c>
      <c r="H245" s="654">
        <v>0</v>
      </c>
      <c r="I245" s="654">
        <v>0</v>
      </c>
      <c r="J245" s="654">
        <v>0</v>
      </c>
      <c r="K245" s="654">
        <v>0</v>
      </c>
      <c r="L245" s="654">
        <v>0</v>
      </c>
      <c r="M245" s="654">
        <v>0</v>
      </c>
      <c r="N245" s="654">
        <v>0</v>
      </c>
      <c r="O245" s="654">
        <v>0</v>
      </c>
      <c r="P245" s="303">
        <f>SUM(D245:O245)</f>
        <v>0</v>
      </c>
      <c r="S245" s="229"/>
    </row>
    <row r="246" spans="1:19" x14ac:dyDescent="0.2">
      <c r="A246" s="649">
        <f>A245+1</f>
        <v>25</v>
      </c>
      <c r="B246" s="478" t="s">
        <v>259</v>
      </c>
      <c r="C246" s="650"/>
      <c r="D246" s="498">
        <f t="shared" ref="D246:O246" si="55">SUM(D243:D245)</f>
        <v>1</v>
      </c>
      <c r="E246" s="498">
        <f t="shared" si="55"/>
        <v>1</v>
      </c>
      <c r="F246" s="498">
        <f t="shared" si="55"/>
        <v>1</v>
      </c>
      <c r="G246" s="498">
        <f t="shared" si="55"/>
        <v>1</v>
      </c>
      <c r="H246" s="498">
        <f t="shared" si="55"/>
        <v>1</v>
      </c>
      <c r="I246" s="498">
        <f t="shared" si="55"/>
        <v>1</v>
      </c>
      <c r="J246" s="498">
        <f t="shared" si="55"/>
        <v>1</v>
      </c>
      <c r="K246" s="498">
        <f t="shared" si="55"/>
        <v>1</v>
      </c>
      <c r="L246" s="498">
        <f t="shared" si="55"/>
        <v>1</v>
      </c>
      <c r="M246" s="498">
        <f t="shared" si="55"/>
        <v>1</v>
      </c>
      <c r="N246" s="498">
        <f t="shared" si="55"/>
        <v>1</v>
      </c>
      <c r="O246" s="498">
        <f t="shared" si="55"/>
        <v>1</v>
      </c>
      <c r="P246" s="652">
        <f>SUM(D246:O246)</f>
        <v>12</v>
      </c>
      <c r="S246" s="229"/>
    </row>
    <row r="247" spans="1:19" x14ac:dyDescent="0.2">
      <c r="A247" s="649"/>
      <c r="B247" s="478"/>
      <c r="C247" s="650"/>
      <c r="D247" s="498"/>
      <c r="E247" s="498"/>
      <c r="F247" s="498"/>
      <c r="G247" s="498"/>
      <c r="H247" s="498"/>
      <c r="I247" s="498"/>
      <c r="J247" s="498"/>
      <c r="K247" s="498"/>
      <c r="L247" s="498"/>
      <c r="M247" s="498"/>
      <c r="N247" s="498"/>
      <c r="O247" s="498"/>
      <c r="P247" s="652"/>
      <c r="S247" s="790"/>
    </row>
    <row r="248" spans="1:19" x14ac:dyDescent="0.2">
      <c r="A248" s="649">
        <f>A246+1</f>
        <v>26</v>
      </c>
      <c r="B248" s="494" t="s">
        <v>278</v>
      </c>
      <c r="C248" s="658"/>
      <c r="D248" s="661"/>
      <c r="E248" s="661"/>
      <c r="F248" s="661"/>
      <c r="G248" s="661"/>
      <c r="H248" s="661"/>
      <c r="I248" s="661"/>
      <c r="J248" s="662"/>
      <c r="K248" s="662"/>
      <c r="L248" s="662"/>
      <c r="M248" s="662"/>
      <c r="N248" s="662"/>
      <c r="O248" s="662"/>
      <c r="P248" s="592"/>
      <c r="S248" s="790"/>
    </row>
    <row r="249" spans="1:19" x14ac:dyDescent="0.2">
      <c r="A249" s="649">
        <f>A248+1</f>
        <v>27</v>
      </c>
      <c r="B249" s="478" t="s">
        <v>288</v>
      </c>
      <c r="C249" s="650"/>
      <c r="D249" s="653">
        <v>0</v>
      </c>
      <c r="E249" s="653">
        <v>0</v>
      </c>
      <c r="F249" s="653">
        <v>0</v>
      </c>
      <c r="G249" s="653">
        <v>0</v>
      </c>
      <c r="H249" s="653">
        <v>0</v>
      </c>
      <c r="I249" s="653">
        <v>0</v>
      </c>
      <c r="J249" s="653">
        <v>0</v>
      </c>
      <c r="K249" s="653">
        <v>0</v>
      </c>
      <c r="L249" s="653">
        <v>0</v>
      </c>
      <c r="M249" s="653">
        <v>0</v>
      </c>
      <c r="N249" s="653">
        <v>0</v>
      </c>
      <c r="O249" s="653">
        <v>0</v>
      </c>
      <c r="P249" s="304">
        <f>SUM(D249:O249)</f>
        <v>0</v>
      </c>
      <c r="S249" s="790"/>
    </row>
    <row r="250" spans="1:19" x14ac:dyDescent="0.2">
      <c r="A250" s="649">
        <f>A249+1</f>
        <v>28</v>
      </c>
      <c r="B250" s="478" t="s">
        <v>244</v>
      </c>
      <c r="C250" s="650" t="s">
        <v>363</v>
      </c>
      <c r="D250" s="304">
        <f>'D pg 1'!D21</f>
        <v>0</v>
      </c>
      <c r="E250" s="304">
        <f>'D pg 1'!E21</f>
        <v>0</v>
      </c>
      <c r="F250" s="304">
        <f>'D pg 1'!F21</f>
        <v>0</v>
      </c>
      <c r="G250" s="304">
        <f>'D pg 1'!G21</f>
        <v>0</v>
      </c>
      <c r="H250" s="304">
        <f>'D pg 1'!H21</f>
        <v>0</v>
      </c>
      <c r="I250" s="304">
        <f>'D pg 1'!I21</f>
        <v>0</v>
      </c>
      <c r="J250" s="304">
        <f>'D pg 1'!J21</f>
        <v>0</v>
      </c>
      <c r="K250" s="304">
        <f>'D pg 1'!K21</f>
        <v>0</v>
      </c>
      <c r="L250" s="304">
        <f>'D pg 1'!L21</f>
        <v>0</v>
      </c>
      <c r="M250" s="304">
        <f>'D pg 1'!M21</f>
        <v>0</v>
      </c>
      <c r="N250" s="304">
        <f>'D pg 1'!N21</f>
        <v>0</v>
      </c>
      <c r="O250" s="304">
        <f>'D pg 1'!O21</f>
        <v>0</v>
      </c>
      <c r="P250" s="304">
        <f>SUM(D250:O250)</f>
        <v>0</v>
      </c>
      <c r="S250" s="790"/>
    </row>
    <row r="251" spans="1:19" x14ac:dyDescent="0.2">
      <c r="A251" s="649">
        <f>A250+1</f>
        <v>29</v>
      </c>
      <c r="B251" s="478" t="s">
        <v>289</v>
      </c>
      <c r="C251" s="650"/>
      <c r="D251" s="654">
        <v>0</v>
      </c>
      <c r="E251" s="654">
        <v>0</v>
      </c>
      <c r="F251" s="654">
        <v>0</v>
      </c>
      <c r="G251" s="654">
        <v>0</v>
      </c>
      <c r="H251" s="654">
        <v>0</v>
      </c>
      <c r="I251" s="654">
        <v>0</v>
      </c>
      <c r="J251" s="654">
        <v>0</v>
      </c>
      <c r="K251" s="654">
        <v>0</v>
      </c>
      <c r="L251" s="654">
        <v>0</v>
      </c>
      <c r="M251" s="654">
        <v>0</v>
      </c>
      <c r="N251" s="654">
        <v>0</v>
      </c>
      <c r="O251" s="654">
        <v>0</v>
      </c>
      <c r="P251" s="303">
        <f>SUM(D251:O251)</f>
        <v>0</v>
      </c>
      <c r="S251" s="790"/>
    </row>
    <row r="252" spans="1:19" x14ac:dyDescent="0.2">
      <c r="A252" s="649">
        <f>A251+1</f>
        <v>30</v>
      </c>
      <c r="B252" s="478" t="s">
        <v>259</v>
      </c>
      <c r="C252" s="650"/>
      <c r="D252" s="304">
        <f t="shared" ref="D252:O252" si="56">SUM(D249:D251)</f>
        <v>0</v>
      </c>
      <c r="E252" s="304">
        <f t="shared" si="56"/>
        <v>0</v>
      </c>
      <c r="F252" s="304">
        <f t="shared" si="56"/>
        <v>0</v>
      </c>
      <c r="G252" s="304">
        <f t="shared" si="56"/>
        <v>0</v>
      </c>
      <c r="H252" s="304">
        <f t="shared" si="56"/>
        <v>0</v>
      </c>
      <c r="I252" s="304">
        <f t="shared" si="56"/>
        <v>0</v>
      </c>
      <c r="J252" s="304">
        <f t="shared" si="56"/>
        <v>0</v>
      </c>
      <c r="K252" s="304">
        <f t="shared" si="56"/>
        <v>0</v>
      </c>
      <c r="L252" s="304">
        <f t="shared" si="56"/>
        <v>0</v>
      </c>
      <c r="M252" s="304">
        <f t="shared" si="56"/>
        <v>0</v>
      </c>
      <c r="N252" s="304">
        <f t="shared" si="56"/>
        <v>0</v>
      </c>
      <c r="O252" s="304">
        <f t="shared" si="56"/>
        <v>0</v>
      </c>
      <c r="P252" s="304">
        <f>SUM(D252:O252)</f>
        <v>0</v>
      </c>
      <c r="S252" s="790"/>
    </row>
    <row r="253" spans="1:19" x14ac:dyDescent="0.2">
      <c r="A253" s="649"/>
      <c r="B253" s="478"/>
      <c r="C253" s="650"/>
      <c r="D253" s="498"/>
      <c r="E253" s="498"/>
      <c r="F253" s="498"/>
      <c r="G253" s="498"/>
      <c r="H253" s="498"/>
      <c r="I253" s="498"/>
      <c r="J253" s="498"/>
      <c r="K253" s="498"/>
      <c r="L253" s="498"/>
      <c r="M253" s="498"/>
      <c r="N253" s="498"/>
      <c r="O253" s="498"/>
      <c r="P253" s="652"/>
      <c r="S253" s="790"/>
    </row>
    <row r="254" spans="1:19" x14ac:dyDescent="0.2">
      <c r="A254" s="980" t="s">
        <v>36</v>
      </c>
      <c r="B254" s="980"/>
      <c r="C254" s="980"/>
      <c r="D254" s="980"/>
      <c r="E254" s="980"/>
      <c r="F254" s="980"/>
      <c r="G254" s="980"/>
      <c r="H254" s="980"/>
      <c r="I254" s="980"/>
      <c r="J254" s="980"/>
      <c r="K254" s="980"/>
      <c r="L254" s="980"/>
      <c r="M254" s="980"/>
      <c r="N254" s="980"/>
      <c r="O254" s="980"/>
      <c r="P254" s="980"/>
    </row>
    <row r="255" spans="1:19" x14ac:dyDescent="0.2">
      <c r="A255" s="980" t="s">
        <v>195</v>
      </c>
      <c r="B255" s="980"/>
      <c r="C255" s="980"/>
      <c r="D255" s="980"/>
      <c r="E255" s="980"/>
      <c r="F255" s="980"/>
      <c r="G255" s="980"/>
      <c r="H255" s="980"/>
      <c r="I255" s="980"/>
      <c r="J255" s="980"/>
      <c r="K255" s="980"/>
      <c r="L255" s="980"/>
      <c r="M255" s="980"/>
      <c r="N255" s="980"/>
      <c r="O255" s="980"/>
      <c r="P255" s="980"/>
    </row>
    <row r="256" spans="1:19" x14ac:dyDescent="0.2">
      <c r="A256" s="980" t="str">
        <f>A3</f>
        <v>For the 12 Months Ended December 31, 2017</v>
      </c>
      <c r="B256" s="980"/>
      <c r="C256" s="980"/>
      <c r="D256" s="980"/>
      <c r="E256" s="980"/>
      <c r="F256" s="980"/>
      <c r="G256" s="980"/>
      <c r="H256" s="980"/>
      <c r="I256" s="980"/>
      <c r="J256" s="980"/>
      <c r="K256" s="980"/>
      <c r="L256" s="980"/>
      <c r="M256" s="980"/>
      <c r="N256" s="980"/>
      <c r="O256" s="980"/>
      <c r="P256" s="980"/>
    </row>
    <row r="257" spans="1:19" x14ac:dyDescent="0.2">
      <c r="A257" s="301"/>
      <c r="B257" s="301"/>
      <c r="C257" s="302"/>
      <c r="D257" s="301"/>
      <c r="E257" s="302"/>
      <c r="F257" s="302"/>
      <c r="G257" s="302"/>
      <c r="H257" s="301"/>
      <c r="I257" s="301"/>
      <c r="J257" s="301"/>
      <c r="K257" s="301"/>
      <c r="L257" s="301"/>
      <c r="M257" s="301"/>
      <c r="N257" s="301"/>
      <c r="O257" s="301"/>
      <c r="P257" s="301"/>
    </row>
    <row r="258" spans="1:19" x14ac:dyDescent="0.2">
      <c r="A258" s="581" t="str">
        <f>$A$5</f>
        <v>Data: __ Base Period_X_Forecasted Period</v>
      </c>
      <c r="B258" s="301"/>
      <c r="C258" s="225"/>
      <c r="D258" s="225"/>
      <c r="E258" s="225"/>
      <c r="F258" s="225"/>
      <c r="G258" s="302"/>
      <c r="H258" s="301"/>
      <c r="I258" s="301"/>
      <c r="J258" s="301"/>
      <c r="K258" s="301"/>
      <c r="L258" s="301"/>
      <c r="M258" s="301"/>
      <c r="N258" s="301"/>
      <c r="O258" s="301"/>
      <c r="P258" s="301"/>
    </row>
    <row r="259" spans="1:19" x14ac:dyDescent="0.2">
      <c r="A259" s="581" t="str">
        <f>$A$6</f>
        <v>Type of Filing: X Original _ Update _ Revised</v>
      </c>
      <c r="B259" s="301"/>
      <c r="C259" s="225"/>
      <c r="D259" s="225"/>
      <c r="E259" s="225"/>
      <c r="F259" s="225"/>
      <c r="G259" s="302"/>
      <c r="H259" s="301"/>
      <c r="I259" s="301"/>
      <c r="J259" s="301"/>
      <c r="K259" s="301"/>
      <c r="L259" s="301"/>
      <c r="M259" s="301"/>
      <c r="N259" s="301"/>
      <c r="O259" s="301"/>
      <c r="P259" s="301"/>
    </row>
    <row r="260" spans="1:19" x14ac:dyDescent="0.2">
      <c r="A260" s="581" t="str">
        <f>$A$7</f>
        <v>Work Paper Reference No(s):</v>
      </c>
      <c r="B260" s="301"/>
      <c r="C260" s="225"/>
      <c r="D260" s="225"/>
      <c r="E260" s="225"/>
      <c r="F260" s="225"/>
      <c r="G260" s="302"/>
      <c r="H260" s="301"/>
      <c r="I260" s="301"/>
      <c r="J260" s="301"/>
      <c r="K260" s="301"/>
      <c r="L260" s="301"/>
      <c r="M260" s="301"/>
      <c r="N260" s="301"/>
      <c r="O260" s="301"/>
      <c r="P260" s="582" t="str">
        <f>$P$7</f>
        <v>Workpaper WPM-B.2</v>
      </c>
    </row>
    <row r="261" spans="1:19" x14ac:dyDescent="0.2">
      <c r="A261" s="664" t="str">
        <f>$A$8</f>
        <v>12 Months Forecasted</v>
      </c>
      <c r="B261" s="584"/>
      <c r="C261" s="225"/>
      <c r="D261" s="665"/>
      <c r="E261" s="584"/>
      <c r="F261" s="585"/>
      <c r="G261" s="586"/>
      <c r="H261" s="585"/>
      <c r="I261" s="587"/>
      <c r="J261" s="585"/>
      <c r="K261" s="585"/>
      <c r="L261" s="585"/>
      <c r="M261" s="585"/>
      <c r="N261" s="585"/>
      <c r="O261" s="585"/>
      <c r="P261" s="588" t="s">
        <v>460</v>
      </c>
      <c r="Q261" s="224"/>
      <c r="R261" s="224"/>
    </row>
    <row r="262" spans="1:19" x14ac:dyDescent="0.2">
      <c r="A262" s="649"/>
      <c r="B262" s="478"/>
      <c r="C262" s="650"/>
      <c r="D262" s="498"/>
      <c r="E262" s="498"/>
      <c r="F262" s="498"/>
      <c r="G262" s="498"/>
      <c r="H262" s="498"/>
      <c r="I262" s="498"/>
      <c r="J262" s="498"/>
      <c r="K262" s="498"/>
      <c r="L262" s="498"/>
      <c r="M262" s="498"/>
      <c r="N262" s="498"/>
      <c r="O262" s="498"/>
      <c r="P262" s="652"/>
      <c r="S262" s="229"/>
    </row>
    <row r="263" spans="1:19" x14ac:dyDescent="0.2">
      <c r="A263" s="584" t="s">
        <v>1</v>
      </c>
      <c r="B263" s="584"/>
      <c r="C263" s="225"/>
      <c r="D263" s="665"/>
      <c r="E263" s="584"/>
      <c r="F263" s="585"/>
      <c r="G263" s="586"/>
      <c r="H263" s="585"/>
      <c r="I263" s="587"/>
      <c r="J263" s="585"/>
      <c r="K263" s="585"/>
      <c r="L263" s="585"/>
      <c r="M263" s="585"/>
      <c r="N263" s="585"/>
      <c r="O263" s="585"/>
      <c r="P263" s="585"/>
      <c r="Q263" s="229"/>
      <c r="R263" s="229"/>
    </row>
    <row r="264" spans="1:19" x14ac:dyDescent="0.2">
      <c r="A264" s="227" t="s">
        <v>3</v>
      </c>
      <c r="B264" s="227" t="s">
        <v>4</v>
      </c>
      <c r="C264" s="258" t="s">
        <v>186</v>
      </c>
      <c r="D264" s="666" t="str">
        <f>$D$11</f>
        <v>Jan-17</v>
      </c>
      <c r="E264" s="666" t="str">
        <f>$E$11</f>
        <v>Feb-17</v>
      </c>
      <c r="F264" s="666" t="str">
        <f>$F$11</f>
        <v>Mar-17</v>
      </c>
      <c r="G264" s="666" t="str">
        <f>$G$11</f>
        <v>Apr-17</v>
      </c>
      <c r="H264" s="666" t="str">
        <f>$H$11</f>
        <v>May-17</v>
      </c>
      <c r="I264" s="666" t="str">
        <f>$I$11</f>
        <v>Jun-17</v>
      </c>
      <c r="J264" s="666" t="str">
        <f>$J$11</f>
        <v>Jul-17</v>
      </c>
      <c r="K264" s="666" t="str">
        <f>$K$11</f>
        <v>Aug-17</v>
      </c>
      <c r="L264" s="666" t="str">
        <f>$L$11</f>
        <v>Sep-17</v>
      </c>
      <c r="M264" s="666" t="str">
        <f>$M$11</f>
        <v>Oct-17</v>
      </c>
      <c r="N264" s="666" t="str">
        <f>$N$11</f>
        <v>Nov-17</v>
      </c>
      <c r="O264" s="666" t="str">
        <f>$O$11</f>
        <v>Dec-17</v>
      </c>
      <c r="P264" s="666" t="s">
        <v>9</v>
      </c>
      <c r="S264" s="282"/>
    </row>
    <row r="265" spans="1:19" x14ac:dyDescent="0.2">
      <c r="A265" s="584"/>
      <c r="B265" s="667" t="s">
        <v>42</v>
      </c>
      <c r="C265" s="658" t="s">
        <v>43</v>
      </c>
      <c r="D265" s="591" t="s">
        <v>45</v>
      </c>
      <c r="E265" s="591" t="s">
        <v>46</v>
      </c>
      <c r="F265" s="591" t="s">
        <v>49</v>
      </c>
      <c r="G265" s="591" t="s">
        <v>50</v>
      </c>
      <c r="H265" s="591" t="s">
        <v>51</v>
      </c>
      <c r="I265" s="591" t="s">
        <v>52</v>
      </c>
      <c r="J265" s="591" t="s">
        <v>53</v>
      </c>
      <c r="K265" s="592" t="s">
        <v>54</v>
      </c>
      <c r="L265" s="592" t="s">
        <v>55</v>
      </c>
      <c r="M265" s="592" t="s">
        <v>56</v>
      </c>
      <c r="N265" s="592" t="s">
        <v>57</v>
      </c>
      <c r="O265" s="592" t="s">
        <v>58</v>
      </c>
      <c r="P265" s="592" t="s">
        <v>59</v>
      </c>
      <c r="S265" s="229"/>
    </row>
    <row r="266" spans="1:19" x14ac:dyDescent="0.2">
      <c r="A266" s="788"/>
      <c r="B266" s="667"/>
      <c r="C266" s="658"/>
      <c r="D266" s="591"/>
      <c r="E266" s="591"/>
      <c r="F266" s="591"/>
      <c r="G266" s="591"/>
      <c r="H266" s="591"/>
      <c r="I266" s="591"/>
      <c r="J266" s="591"/>
      <c r="K266" s="592"/>
      <c r="L266" s="592"/>
      <c r="M266" s="592"/>
      <c r="N266" s="592"/>
      <c r="O266" s="592"/>
      <c r="P266" s="592"/>
      <c r="S266" s="790"/>
    </row>
    <row r="267" spans="1:19" x14ac:dyDescent="0.2">
      <c r="A267" s="649">
        <v>1</v>
      </c>
      <c r="B267" s="494" t="s">
        <v>279</v>
      </c>
      <c r="C267" s="658"/>
      <c r="D267" s="661"/>
      <c r="E267" s="661"/>
      <c r="F267" s="661"/>
      <c r="G267" s="661"/>
      <c r="H267" s="661"/>
      <c r="I267" s="661"/>
      <c r="J267" s="662"/>
      <c r="K267" s="662"/>
      <c r="L267" s="662"/>
      <c r="M267" s="662"/>
      <c r="N267" s="662"/>
      <c r="O267" s="662"/>
      <c r="P267" s="592"/>
      <c r="S267" s="790"/>
    </row>
    <row r="268" spans="1:19" x14ac:dyDescent="0.2">
      <c r="A268" s="649">
        <f>A267+1</f>
        <v>2</v>
      </c>
      <c r="B268" s="478" t="s">
        <v>288</v>
      </c>
      <c r="C268" s="650"/>
      <c r="D268" s="651">
        <v>1</v>
      </c>
      <c r="E268" s="651">
        <v>1</v>
      </c>
      <c r="F268" s="651">
        <v>1</v>
      </c>
      <c r="G268" s="651">
        <v>1</v>
      </c>
      <c r="H268" s="651">
        <v>1</v>
      </c>
      <c r="I268" s="651">
        <v>1</v>
      </c>
      <c r="J268" s="651">
        <v>1</v>
      </c>
      <c r="K268" s="651">
        <v>1</v>
      </c>
      <c r="L268" s="651">
        <v>1</v>
      </c>
      <c r="M268" s="651">
        <v>1</v>
      </c>
      <c r="N268" s="651">
        <v>1</v>
      </c>
      <c r="O268" s="651">
        <v>1</v>
      </c>
      <c r="P268" s="652">
        <f>SUM(D268:O268)</f>
        <v>12</v>
      </c>
      <c r="S268" s="790"/>
    </row>
    <row r="269" spans="1:19" x14ac:dyDescent="0.2">
      <c r="A269" s="649">
        <f>A268+1</f>
        <v>3</v>
      </c>
      <c r="B269" s="478" t="s">
        <v>244</v>
      </c>
      <c r="C269" s="650" t="s">
        <v>363</v>
      </c>
      <c r="D269" s="653">
        <v>0</v>
      </c>
      <c r="E269" s="653">
        <v>0</v>
      </c>
      <c r="F269" s="653">
        <v>0</v>
      </c>
      <c r="G269" s="653">
        <v>0</v>
      </c>
      <c r="H269" s="653">
        <v>0</v>
      </c>
      <c r="I269" s="653">
        <v>0</v>
      </c>
      <c r="J269" s="653">
        <v>0</v>
      </c>
      <c r="K269" s="653">
        <v>0</v>
      </c>
      <c r="L269" s="653">
        <v>0</v>
      </c>
      <c r="M269" s="653">
        <v>0</v>
      </c>
      <c r="N269" s="653">
        <v>0</v>
      </c>
      <c r="O269" s="653">
        <v>0</v>
      </c>
      <c r="P269" s="304">
        <f>SUM(D269:O269)</f>
        <v>0</v>
      </c>
      <c r="S269" s="790"/>
    </row>
    <row r="270" spans="1:19" x14ac:dyDescent="0.2">
      <c r="A270" s="649">
        <f>A269+1</f>
        <v>4</v>
      </c>
      <c r="B270" s="478" t="s">
        <v>289</v>
      </c>
      <c r="C270" s="650"/>
      <c r="D270" s="654">
        <v>0</v>
      </c>
      <c r="E270" s="654">
        <v>0</v>
      </c>
      <c r="F270" s="654">
        <v>0</v>
      </c>
      <c r="G270" s="654">
        <v>0</v>
      </c>
      <c r="H270" s="654">
        <v>0</v>
      </c>
      <c r="I270" s="654">
        <v>0</v>
      </c>
      <c r="J270" s="654">
        <v>0</v>
      </c>
      <c r="K270" s="654">
        <v>0</v>
      </c>
      <c r="L270" s="654">
        <v>0</v>
      </c>
      <c r="M270" s="654">
        <v>0</v>
      </c>
      <c r="N270" s="654">
        <v>0</v>
      </c>
      <c r="O270" s="654">
        <v>0</v>
      </c>
      <c r="P270" s="303">
        <f>SUM(D270:O270)</f>
        <v>0</v>
      </c>
      <c r="S270" s="790"/>
    </row>
    <row r="271" spans="1:19" x14ac:dyDescent="0.2">
      <c r="A271" s="649">
        <f>A270+1</f>
        <v>5</v>
      </c>
      <c r="B271" s="478" t="s">
        <v>259</v>
      </c>
      <c r="C271" s="650"/>
      <c r="D271" s="498">
        <f t="shared" ref="D271:O271" si="57">SUM(D268:D270)</f>
        <v>1</v>
      </c>
      <c r="E271" s="498">
        <f t="shared" si="57"/>
        <v>1</v>
      </c>
      <c r="F271" s="498">
        <f t="shared" si="57"/>
        <v>1</v>
      </c>
      <c r="G271" s="498">
        <f t="shared" si="57"/>
        <v>1</v>
      </c>
      <c r="H271" s="498">
        <f t="shared" si="57"/>
        <v>1</v>
      </c>
      <c r="I271" s="498">
        <f t="shared" si="57"/>
        <v>1</v>
      </c>
      <c r="J271" s="498">
        <f t="shared" si="57"/>
        <v>1</v>
      </c>
      <c r="K271" s="498">
        <f t="shared" si="57"/>
        <v>1</v>
      </c>
      <c r="L271" s="498">
        <f t="shared" si="57"/>
        <v>1</v>
      </c>
      <c r="M271" s="498">
        <f t="shared" si="57"/>
        <v>1</v>
      </c>
      <c r="N271" s="498">
        <f t="shared" si="57"/>
        <v>1</v>
      </c>
      <c r="O271" s="498">
        <f t="shared" si="57"/>
        <v>1</v>
      </c>
      <c r="P271" s="652">
        <f>SUM(D271:O271)</f>
        <v>12</v>
      </c>
      <c r="S271" s="790"/>
    </row>
    <row r="272" spans="1:19" ht="10.8" thickBot="1" x14ac:dyDescent="0.25">
      <c r="A272" s="584"/>
      <c r="B272" s="667"/>
      <c r="C272" s="658"/>
      <c r="D272" s="591"/>
      <c r="E272" s="591"/>
      <c r="F272" s="591"/>
      <c r="G272" s="591"/>
      <c r="H272" s="591"/>
      <c r="I272" s="591"/>
      <c r="J272" s="592"/>
      <c r="K272" s="592"/>
      <c r="L272" s="592"/>
      <c r="M272" s="592"/>
      <c r="N272" s="592"/>
      <c r="O272" s="592"/>
      <c r="P272" s="592"/>
      <c r="S272" s="229"/>
    </row>
    <row r="273" spans="1:19" s="301" customFormat="1" x14ac:dyDescent="0.2">
      <c r="A273" s="668">
        <f>A271+1</f>
        <v>6</v>
      </c>
      <c r="B273" s="669" t="s">
        <v>15</v>
      </c>
      <c r="C273" s="671"/>
      <c r="D273" s="539"/>
      <c r="E273" s="671"/>
      <c r="F273" s="671"/>
      <c r="G273" s="671"/>
      <c r="H273" s="539"/>
      <c r="I273" s="539"/>
      <c r="J273" s="539"/>
      <c r="K273" s="440"/>
      <c r="L273" s="440"/>
      <c r="M273" s="440"/>
      <c r="N273" s="440"/>
      <c r="O273" s="440"/>
      <c r="P273" s="441"/>
    </row>
    <row r="274" spans="1:19" s="301" customFormat="1" x14ac:dyDescent="0.2">
      <c r="A274" s="672"/>
      <c r="C274" s="304"/>
      <c r="D274" s="300"/>
      <c r="E274" s="304"/>
      <c r="F274" s="304"/>
      <c r="G274" s="304"/>
      <c r="H274" s="300"/>
      <c r="I274" s="300"/>
      <c r="J274" s="300"/>
      <c r="P274" s="443"/>
    </row>
    <row r="275" spans="1:19" s="301" customFormat="1" x14ac:dyDescent="0.2">
      <c r="A275" s="672">
        <f>A273+1</f>
        <v>7</v>
      </c>
      <c r="B275" s="494" t="s">
        <v>35</v>
      </c>
      <c r="C275" s="605"/>
      <c r="D275" s="605"/>
      <c r="E275" s="605"/>
      <c r="F275" s="605"/>
      <c r="G275" s="605"/>
      <c r="H275" s="605"/>
      <c r="I275" s="605"/>
      <c r="J275" s="605"/>
      <c r="P275" s="443"/>
    </row>
    <row r="276" spans="1:19" x14ac:dyDescent="0.2">
      <c r="A276" s="672">
        <f>A275+1</f>
        <v>8</v>
      </c>
      <c r="B276" s="478" t="s">
        <v>288</v>
      </c>
      <c r="C276" s="650"/>
      <c r="D276" s="498">
        <f t="shared" ref="D276:O276" si="58">D162</f>
        <v>23633</v>
      </c>
      <c r="E276" s="498">
        <f t="shared" si="58"/>
        <v>23667</v>
      </c>
      <c r="F276" s="498">
        <f t="shared" si="58"/>
        <v>23649</v>
      </c>
      <c r="G276" s="498">
        <f t="shared" si="58"/>
        <v>23511</v>
      </c>
      <c r="H276" s="498">
        <f t="shared" si="58"/>
        <v>23370</v>
      </c>
      <c r="I276" s="498">
        <f t="shared" si="58"/>
        <v>23180</v>
      </c>
      <c r="J276" s="498">
        <f t="shared" si="58"/>
        <v>23035</v>
      </c>
      <c r="K276" s="498">
        <f t="shared" si="58"/>
        <v>22973</v>
      </c>
      <c r="L276" s="498">
        <f t="shared" si="58"/>
        <v>22958</v>
      </c>
      <c r="M276" s="498">
        <f t="shared" si="58"/>
        <v>23042</v>
      </c>
      <c r="N276" s="498">
        <f t="shared" si="58"/>
        <v>23318</v>
      </c>
      <c r="O276" s="498">
        <f t="shared" si="58"/>
        <v>23543</v>
      </c>
      <c r="P276" s="674">
        <f>SUM(D276:O276)</f>
        <v>279879</v>
      </c>
      <c r="S276" s="229"/>
    </row>
    <row r="277" spans="1:19" ht="12" x14ac:dyDescent="0.35">
      <c r="A277" s="672">
        <f>A276+1</f>
        <v>9</v>
      </c>
      <c r="B277" s="478" t="s">
        <v>289</v>
      </c>
      <c r="C277" s="650"/>
      <c r="D277" s="676">
        <f t="shared" ref="D277:O277" si="59">D163</f>
        <v>87</v>
      </c>
      <c r="E277" s="676">
        <f t="shared" si="59"/>
        <v>118</v>
      </c>
      <c r="F277" s="676">
        <f t="shared" si="59"/>
        <v>137</v>
      </c>
      <c r="G277" s="676">
        <f t="shared" si="59"/>
        <v>183</v>
      </c>
      <c r="H277" s="676">
        <f t="shared" si="59"/>
        <v>242</v>
      </c>
      <c r="I277" s="676">
        <f t="shared" si="59"/>
        <v>206</v>
      </c>
      <c r="J277" s="676">
        <f t="shared" si="59"/>
        <v>203</v>
      </c>
      <c r="K277" s="676">
        <f t="shared" si="59"/>
        <v>250</v>
      </c>
      <c r="L277" s="676">
        <f t="shared" si="59"/>
        <v>221</v>
      </c>
      <c r="M277" s="676">
        <f t="shared" si="59"/>
        <v>146</v>
      </c>
      <c r="N277" s="676">
        <f t="shared" si="59"/>
        <v>140</v>
      </c>
      <c r="O277" s="676">
        <f t="shared" si="59"/>
        <v>134</v>
      </c>
      <c r="P277" s="677">
        <f>SUM(D277:O277)</f>
        <v>2067</v>
      </c>
      <c r="S277" s="229"/>
    </row>
    <row r="278" spans="1:19" x14ac:dyDescent="0.2">
      <c r="A278" s="672">
        <f>A277+1</f>
        <v>10</v>
      </c>
      <c r="B278" s="478" t="s">
        <v>259</v>
      </c>
      <c r="C278" s="650"/>
      <c r="D278" s="498">
        <f t="shared" ref="D278:O278" si="60">SUM(D276:D277)</f>
        <v>23720</v>
      </c>
      <c r="E278" s="498">
        <f t="shared" si="60"/>
        <v>23785</v>
      </c>
      <c r="F278" s="498">
        <f t="shared" si="60"/>
        <v>23786</v>
      </c>
      <c r="G278" s="498">
        <f t="shared" si="60"/>
        <v>23694</v>
      </c>
      <c r="H278" s="498">
        <f t="shared" si="60"/>
        <v>23612</v>
      </c>
      <c r="I278" s="498">
        <f t="shared" si="60"/>
        <v>23386</v>
      </c>
      <c r="J278" s="498">
        <f t="shared" si="60"/>
        <v>23238</v>
      </c>
      <c r="K278" s="498">
        <f t="shared" si="60"/>
        <v>23223</v>
      </c>
      <c r="L278" s="498">
        <f t="shared" si="60"/>
        <v>23179</v>
      </c>
      <c r="M278" s="498">
        <f t="shared" si="60"/>
        <v>23188</v>
      </c>
      <c r="N278" s="498">
        <f t="shared" si="60"/>
        <v>23458</v>
      </c>
      <c r="O278" s="498">
        <f t="shared" si="60"/>
        <v>23677</v>
      </c>
      <c r="P278" s="674">
        <f>SUM(D278:O278)</f>
        <v>281946</v>
      </c>
      <c r="S278" s="229"/>
    </row>
    <row r="279" spans="1:19" s="301" customFormat="1" x14ac:dyDescent="0.2">
      <c r="A279" s="445"/>
      <c r="C279" s="605"/>
      <c r="D279" s="605"/>
      <c r="E279" s="605"/>
      <c r="F279" s="605"/>
      <c r="G279" s="605"/>
      <c r="H279" s="605"/>
      <c r="I279" s="605"/>
      <c r="J279" s="605"/>
      <c r="P279" s="443"/>
    </row>
    <row r="280" spans="1:19" s="301" customFormat="1" x14ac:dyDescent="0.2">
      <c r="A280" s="672">
        <f>A278+1</f>
        <v>11</v>
      </c>
      <c r="B280" s="494" t="s">
        <v>16</v>
      </c>
      <c r="C280" s="605"/>
      <c r="D280" s="605"/>
      <c r="E280" s="605"/>
      <c r="F280" s="605"/>
      <c r="G280" s="605"/>
      <c r="H280" s="605"/>
      <c r="I280" s="605"/>
      <c r="J280" s="256"/>
      <c r="P280" s="443"/>
    </row>
    <row r="281" spans="1:19" x14ac:dyDescent="0.2">
      <c r="A281" s="672">
        <f>A280+1</f>
        <v>12</v>
      </c>
      <c r="B281" s="478" t="s">
        <v>288</v>
      </c>
      <c r="C281" s="650"/>
      <c r="D281" s="498">
        <f t="shared" ref="D281:O281" si="61">D167+D179+D191+D225+D231+D249</f>
        <v>3867</v>
      </c>
      <c r="E281" s="498">
        <f t="shared" si="61"/>
        <v>3835</v>
      </c>
      <c r="F281" s="498">
        <f t="shared" si="61"/>
        <v>4127</v>
      </c>
      <c r="G281" s="498">
        <f t="shared" si="61"/>
        <v>4107</v>
      </c>
      <c r="H281" s="498">
        <f t="shared" si="61"/>
        <v>4092</v>
      </c>
      <c r="I281" s="498">
        <f t="shared" si="61"/>
        <v>4066</v>
      </c>
      <c r="J281" s="498">
        <f t="shared" si="61"/>
        <v>4003</v>
      </c>
      <c r="K281" s="498">
        <f t="shared" si="61"/>
        <v>3987</v>
      </c>
      <c r="L281" s="498">
        <f t="shared" si="61"/>
        <v>3958</v>
      </c>
      <c r="M281" s="498">
        <f t="shared" si="61"/>
        <v>3931</v>
      </c>
      <c r="N281" s="498">
        <f t="shared" si="61"/>
        <v>3909</v>
      </c>
      <c r="O281" s="498">
        <f t="shared" si="61"/>
        <v>3889</v>
      </c>
      <c r="P281" s="674">
        <f>SUM(D281:O281)</f>
        <v>47771</v>
      </c>
      <c r="S281" s="229"/>
    </row>
    <row r="282" spans="1:19" x14ac:dyDescent="0.2">
      <c r="A282" s="672">
        <f>A281+1</f>
        <v>13</v>
      </c>
      <c r="B282" s="478" t="s">
        <v>244</v>
      </c>
      <c r="C282" s="650"/>
      <c r="D282" s="304">
        <f t="shared" ref="D282:O282" si="62">D168+D180+D192+D226+D232+D250</f>
        <v>2</v>
      </c>
      <c r="E282" s="304">
        <f t="shared" si="62"/>
        <v>2</v>
      </c>
      <c r="F282" s="304">
        <f t="shared" si="62"/>
        <v>2</v>
      </c>
      <c r="G282" s="304">
        <f t="shared" si="62"/>
        <v>2</v>
      </c>
      <c r="H282" s="304">
        <f t="shared" si="62"/>
        <v>2</v>
      </c>
      <c r="I282" s="304">
        <f t="shared" si="62"/>
        <v>2</v>
      </c>
      <c r="J282" s="304">
        <f t="shared" si="62"/>
        <v>3</v>
      </c>
      <c r="K282" s="304">
        <f t="shared" si="62"/>
        <v>3</v>
      </c>
      <c r="L282" s="304">
        <f t="shared" si="62"/>
        <v>3</v>
      </c>
      <c r="M282" s="304">
        <f t="shared" si="62"/>
        <v>3</v>
      </c>
      <c r="N282" s="304">
        <f t="shared" si="62"/>
        <v>3</v>
      </c>
      <c r="O282" s="304">
        <f t="shared" si="62"/>
        <v>30</v>
      </c>
      <c r="P282" s="675">
        <f>SUM(D282:O282)</f>
        <v>57</v>
      </c>
      <c r="S282" s="229"/>
    </row>
    <row r="283" spans="1:19" ht="12" x14ac:dyDescent="0.35">
      <c r="A283" s="672">
        <f>A282+1</f>
        <v>14</v>
      </c>
      <c r="B283" s="478" t="s">
        <v>289</v>
      </c>
      <c r="C283" s="650"/>
      <c r="D283" s="676">
        <f t="shared" ref="D283:O283" si="63">D169+D181+D193+D227+D233+D251</f>
        <v>23</v>
      </c>
      <c r="E283" s="676">
        <f t="shared" si="63"/>
        <v>18</v>
      </c>
      <c r="F283" s="676">
        <f t="shared" si="63"/>
        <v>10</v>
      </c>
      <c r="G283" s="676">
        <f t="shared" si="63"/>
        <v>18</v>
      </c>
      <c r="H283" s="676">
        <f t="shared" si="63"/>
        <v>10</v>
      </c>
      <c r="I283" s="676">
        <f t="shared" si="63"/>
        <v>20</v>
      </c>
      <c r="J283" s="676">
        <f t="shared" si="63"/>
        <v>58</v>
      </c>
      <c r="K283" s="676">
        <f t="shared" si="63"/>
        <v>13</v>
      </c>
      <c r="L283" s="676">
        <f t="shared" si="63"/>
        <v>10</v>
      </c>
      <c r="M283" s="676">
        <f t="shared" si="63"/>
        <v>12</v>
      </c>
      <c r="N283" s="676">
        <f t="shared" si="63"/>
        <v>14</v>
      </c>
      <c r="O283" s="676">
        <f t="shared" si="63"/>
        <v>8</v>
      </c>
      <c r="P283" s="677">
        <f>SUM(D283:O283)</f>
        <v>214</v>
      </c>
      <c r="S283" s="229"/>
    </row>
    <row r="284" spans="1:19" x14ac:dyDescent="0.2">
      <c r="A284" s="672">
        <f>A283+1</f>
        <v>15</v>
      </c>
      <c r="B284" s="478" t="s">
        <v>259</v>
      </c>
      <c r="C284" s="650"/>
      <c r="D284" s="498">
        <f t="shared" ref="D284:O284" si="64">SUM(D281:D283)</f>
        <v>3892</v>
      </c>
      <c r="E284" s="498">
        <f t="shared" si="64"/>
        <v>3855</v>
      </c>
      <c r="F284" s="498">
        <f t="shared" si="64"/>
        <v>4139</v>
      </c>
      <c r="G284" s="498">
        <f t="shared" si="64"/>
        <v>4127</v>
      </c>
      <c r="H284" s="498">
        <f t="shared" si="64"/>
        <v>4104</v>
      </c>
      <c r="I284" s="498">
        <f t="shared" si="64"/>
        <v>4088</v>
      </c>
      <c r="J284" s="498">
        <f t="shared" si="64"/>
        <v>4064</v>
      </c>
      <c r="K284" s="498">
        <f t="shared" si="64"/>
        <v>4003</v>
      </c>
      <c r="L284" s="498">
        <f t="shared" si="64"/>
        <v>3971</v>
      </c>
      <c r="M284" s="498">
        <f t="shared" si="64"/>
        <v>3946</v>
      </c>
      <c r="N284" s="498">
        <f t="shared" si="64"/>
        <v>3926</v>
      </c>
      <c r="O284" s="498">
        <f t="shared" si="64"/>
        <v>3927</v>
      </c>
      <c r="P284" s="674">
        <f>SUM(D284:O284)</f>
        <v>48042</v>
      </c>
      <c r="S284" s="229"/>
    </row>
    <row r="285" spans="1:19" s="301" customFormat="1" x14ac:dyDescent="0.2">
      <c r="A285" s="445"/>
      <c r="C285" s="605"/>
      <c r="D285" s="605"/>
      <c r="E285" s="605"/>
      <c r="F285" s="605"/>
      <c r="G285" s="605"/>
      <c r="H285" s="605"/>
      <c r="I285" s="605"/>
      <c r="J285" s="256"/>
      <c r="P285" s="443"/>
    </row>
    <row r="286" spans="1:19" s="301" customFormat="1" x14ac:dyDescent="0.2">
      <c r="A286" s="672">
        <f>A284+1</f>
        <v>16</v>
      </c>
      <c r="B286" s="494" t="s">
        <v>17</v>
      </c>
      <c r="C286" s="619"/>
      <c r="D286" s="619"/>
      <c r="E286" s="619"/>
      <c r="F286" s="619"/>
      <c r="G286" s="619"/>
      <c r="H286" s="619"/>
      <c r="I286" s="619"/>
      <c r="J286" s="679"/>
      <c r="P286" s="443"/>
    </row>
    <row r="287" spans="1:19" x14ac:dyDescent="0.2">
      <c r="A287" s="672">
        <f>A286+1</f>
        <v>17</v>
      </c>
      <c r="B287" s="478" t="s">
        <v>288</v>
      </c>
      <c r="C287" s="650"/>
      <c r="D287" s="498">
        <f t="shared" ref="D287:O287" si="65">D173+D185+D197+D219+D237+D243+D268</f>
        <v>75</v>
      </c>
      <c r="E287" s="498">
        <f t="shared" si="65"/>
        <v>75</v>
      </c>
      <c r="F287" s="498">
        <f t="shared" si="65"/>
        <v>74</v>
      </c>
      <c r="G287" s="498">
        <f t="shared" si="65"/>
        <v>74</v>
      </c>
      <c r="H287" s="498">
        <f t="shared" si="65"/>
        <v>74</v>
      </c>
      <c r="I287" s="498">
        <f t="shared" si="65"/>
        <v>74</v>
      </c>
      <c r="J287" s="498">
        <f t="shared" si="65"/>
        <v>74</v>
      </c>
      <c r="K287" s="498">
        <f t="shared" si="65"/>
        <v>74</v>
      </c>
      <c r="L287" s="498">
        <f t="shared" si="65"/>
        <v>74</v>
      </c>
      <c r="M287" s="498">
        <f t="shared" si="65"/>
        <v>74</v>
      </c>
      <c r="N287" s="498">
        <f t="shared" si="65"/>
        <v>75</v>
      </c>
      <c r="O287" s="498">
        <f t="shared" si="65"/>
        <v>75</v>
      </c>
      <c r="P287" s="674">
        <f>SUM(D287:O287)</f>
        <v>892</v>
      </c>
      <c r="S287" s="229"/>
    </row>
    <row r="288" spans="1:19" x14ac:dyDescent="0.2">
      <c r="A288" s="672">
        <f>A287+1</f>
        <v>18</v>
      </c>
      <c r="B288" s="478" t="s">
        <v>244</v>
      </c>
      <c r="C288" s="650"/>
      <c r="D288" s="304">
        <f t="shared" ref="D288:O288" si="66">D174+D186+D198+D220+D238+D244+D269</f>
        <v>0</v>
      </c>
      <c r="E288" s="304">
        <f t="shared" si="66"/>
        <v>0</v>
      </c>
      <c r="F288" s="304">
        <f t="shared" si="66"/>
        <v>0</v>
      </c>
      <c r="G288" s="304">
        <f t="shared" si="66"/>
        <v>0</v>
      </c>
      <c r="H288" s="304">
        <f t="shared" si="66"/>
        <v>0</v>
      </c>
      <c r="I288" s="304">
        <f t="shared" si="66"/>
        <v>0</v>
      </c>
      <c r="J288" s="304">
        <f t="shared" si="66"/>
        <v>0</v>
      </c>
      <c r="K288" s="304">
        <f t="shared" si="66"/>
        <v>0</v>
      </c>
      <c r="L288" s="304">
        <f t="shared" si="66"/>
        <v>0</v>
      </c>
      <c r="M288" s="304">
        <f t="shared" si="66"/>
        <v>0</v>
      </c>
      <c r="N288" s="304">
        <f t="shared" si="66"/>
        <v>0</v>
      </c>
      <c r="O288" s="304">
        <f t="shared" si="66"/>
        <v>0</v>
      </c>
      <c r="P288" s="675">
        <f>SUM(D288:O288)</f>
        <v>0</v>
      </c>
      <c r="S288" s="229"/>
    </row>
    <row r="289" spans="1:19" ht="12" x14ac:dyDescent="0.35">
      <c r="A289" s="672">
        <f>A288+1</f>
        <v>19</v>
      </c>
      <c r="B289" s="478" t="s">
        <v>289</v>
      </c>
      <c r="C289" s="650"/>
      <c r="D289" s="688">
        <f t="shared" ref="D289:O289" si="67">D175+D187+D199+D221+D239+D245+D270</f>
        <v>0</v>
      </c>
      <c r="E289" s="688">
        <f t="shared" si="67"/>
        <v>0</v>
      </c>
      <c r="F289" s="688">
        <f t="shared" si="67"/>
        <v>0</v>
      </c>
      <c r="G289" s="688">
        <f t="shared" si="67"/>
        <v>1</v>
      </c>
      <c r="H289" s="688">
        <f t="shared" si="67"/>
        <v>0</v>
      </c>
      <c r="I289" s="688">
        <f t="shared" si="67"/>
        <v>0</v>
      </c>
      <c r="J289" s="688">
        <f t="shared" si="67"/>
        <v>0</v>
      </c>
      <c r="K289" s="688">
        <f t="shared" si="67"/>
        <v>0</v>
      </c>
      <c r="L289" s="688">
        <f t="shared" si="67"/>
        <v>0</v>
      </c>
      <c r="M289" s="688">
        <f t="shared" si="67"/>
        <v>0</v>
      </c>
      <c r="N289" s="688">
        <f t="shared" si="67"/>
        <v>0</v>
      </c>
      <c r="O289" s="688">
        <f t="shared" si="67"/>
        <v>0</v>
      </c>
      <c r="P289" s="677">
        <f>SUM(D289:O289)</f>
        <v>1</v>
      </c>
      <c r="S289" s="229"/>
    </row>
    <row r="290" spans="1:19" x14ac:dyDescent="0.2">
      <c r="A290" s="672">
        <f>A289+1</f>
        <v>20</v>
      </c>
      <c r="B290" s="478" t="s">
        <v>259</v>
      </c>
      <c r="C290" s="650"/>
      <c r="D290" s="498">
        <f t="shared" ref="D290:O290" si="68">SUM(D287:D289)</f>
        <v>75</v>
      </c>
      <c r="E290" s="498">
        <f t="shared" si="68"/>
        <v>75</v>
      </c>
      <c r="F290" s="498">
        <f t="shared" si="68"/>
        <v>74</v>
      </c>
      <c r="G290" s="498">
        <f t="shared" si="68"/>
        <v>75</v>
      </c>
      <c r="H290" s="498">
        <f t="shared" si="68"/>
        <v>74</v>
      </c>
      <c r="I290" s="498">
        <f t="shared" si="68"/>
        <v>74</v>
      </c>
      <c r="J290" s="498">
        <f t="shared" si="68"/>
        <v>74</v>
      </c>
      <c r="K290" s="498">
        <f t="shared" si="68"/>
        <v>74</v>
      </c>
      <c r="L290" s="498">
        <f t="shared" si="68"/>
        <v>74</v>
      </c>
      <c r="M290" s="498">
        <f t="shared" si="68"/>
        <v>74</v>
      </c>
      <c r="N290" s="498">
        <f t="shared" si="68"/>
        <v>75</v>
      </c>
      <c r="O290" s="498">
        <f t="shared" si="68"/>
        <v>75</v>
      </c>
      <c r="P290" s="674">
        <f>SUM(D290:O290)</f>
        <v>893</v>
      </c>
      <c r="S290" s="229"/>
    </row>
    <row r="291" spans="1:19" s="301" customFormat="1" x14ac:dyDescent="0.2">
      <c r="A291" s="445"/>
      <c r="C291" s="619"/>
      <c r="D291" s="619"/>
      <c r="E291" s="619"/>
      <c r="F291" s="619"/>
      <c r="G291" s="619"/>
      <c r="H291" s="619"/>
      <c r="I291" s="619"/>
      <c r="J291" s="679"/>
      <c r="P291" s="443"/>
    </row>
    <row r="292" spans="1:19" s="301" customFormat="1" x14ac:dyDescent="0.2">
      <c r="A292" s="672">
        <f>A290+1</f>
        <v>21</v>
      </c>
      <c r="B292" s="494" t="s">
        <v>18</v>
      </c>
      <c r="C292" s="605"/>
      <c r="D292" s="256"/>
      <c r="E292" s="605"/>
      <c r="F292" s="605"/>
      <c r="G292" s="605"/>
      <c r="H292" s="256"/>
      <c r="I292" s="256"/>
      <c r="J292" s="256"/>
      <c r="P292" s="443"/>
    </row>
    <row r="293" spans="1:19" x14ac:dyDescent="0.2">
      <c r="A293" s="672">
        <f>A292+1</f>
        <v>22</v>
      </c>
      <c r="B293" s="478" t="s">
        <v>288</v>
      </c>
      <c r="C293" s="650"/>
      <c r="D293" s="498">
        <f t="shared" ref="D293:O293" si="69">D276+D281+D287</f>
        <v>27575</v>
      </c>
      <c r="E293" s="498">
        <f t="shared" si="69"/>
        <v>27577</v>
      </c>
      <c r="F293" s="498">
        <f t="shared" si="69"/>
        <v>27850</v>
      </c>
      <c r="G293" s="498">
        <f t="shared" si="69"/>
        <v>27692</v>
      </c>
      <c r="H293" s="498">
        <f t="shared" si="69"/>
        <v>27536</v>
      </c>
      <c r="I293" s="498">
        <f t="shared" si="69"/>
        <v>27320</v>
      </c>
      <c r="J293" s="498">
        <f t="shared" si="69"/>
        <v>27112</v>
      </c>
      <c r="K293" s="498">
        <f t="shared" si="69"/>
        <v>27034</v>
      </c>
      <c r="L293" s="498">
        <f t="shared" si="69"/>
        <v>26990</v>
      </c>
      <c r="M293" s="498">
        <f t="shared" si="69"/>
        <v>27047</v>
      </c>
      <c r="N293" s="498">
        <f t="shared" si="69"/>
        <v>27302</v>
      </c>
      <c r="O293" s="498">
        <f t="shared" si="69"/>
        <v>27507</v>
      </c>
      <c r="P293" s="674">
        <f>SUM(D293:O293)</f>
        <v>328542</v>
      </c>
      <c r="S293" s="229"/>
    </row>
    <row r="294" spans="1:19" x14ac:dyDescent="0.2">
      <c r="A294" s="672">
        <f>A293+1</f>
        <v>23</v>
      </c>
      <c r="B294" s="478" t="s">
        <v>244</v>
      </c>
      <c r="C294" s="650"/>
      <c r="D294" s="304">
        <f>D282+D288</f>
        <v>2</v>
      </c>
      <c r="E294" s="304">
        <f t="shared" ref="E294:P294" si="70">E282+E288</f>
        <v>2</v>
      </c>
      <c r="F294" s="304">
        <f t="shared" si="70"/>
        <v>2</v>
      </c>
      <c r="G294" s="304">
        <f t="shared" si="70"/>
        <v>2</v>
      </c>
      <c r="H294" s="304">
        <f t="shared" si="70"/>
        <v>2</v>
      </c>
      <c r="I294" s="304">
        <f t="shared" si="70"/>
        <v>2</v>
      </c>
      <c r="J294" s="304">
        <f t="shared" si="70"/>
        <v>3</v>
      </c>
      <c r="K294" s="304">
        <f t="shared" si="70"/>
        <v>3</v>
      </c>
      <c r="L294" s="304">
        <f t="shared" si="70"/>
        <v>3</v>
      </c>
      <c r="M294" s="304">
        <f t="shared" si="70"/>
        <v>3</v>
      </c>
      <c r="N294" s="304">
        <f t="shared" si="70"/>
        <v>3</v>
      </c>
      <c r="O294" s="304">
        <f t="shared" si="70"/>
        <v>30</v>
      </c>
      <c r="P294" s="674">
        <f t="shared" si="70"/>
        <v>57</v>
      </c>
      <c r="S294" s="229"/>
    </row>
    <row r="295" spans="1:19" ht="12" x14ac:dyDescent="0.35">
      <c r="A295" s="672">
        <f>A294+1</f>
        <v>24</v>
      </c>
      <c r="B295" s="478" t="s">
        <v>289</v>
      </c>
      <c r="C295" s="650"/>
      <c r="D295" s="676">
        <f t="shared" ref="D295:O295" si="71">D277+D283+D289</f>
        <v>110</v>
      </c>
      <c r="E295" s="676">
        <f t="shared" si="71"/>
        <v>136</v>
      </c>
      <c r="F295" s="676">
        <f t="shared" si="71"/>
        <v>147</v>
      </c>
      <c r="G295" s="676">
        <f t="shared" si="71"/>
        <v>202</v>
      </c>
      <c r="H295" s="676">
        <f t="shared" si="71"/>
        <v>252</v>
      </c>
      <c r="I295" s="676">
        <f t="shared" si="71"/>
        <v>226</v>
      </c>
      <c r="J295" s="676">
        <f t="shared" si="71"/>
        <v>261</v>
      </c>
      <c r="K295" s="676">
        <f t="shared" si="71"/>
        <v>263</v>
      </c>
      <c r="L295" s="676">
        <f t="shared" si="71"/>
        <v>231</v>
      </c>
      <c r="M295" s="676">
        <f t="shared" si="71"/>
        <v>158</v>
      </c>
      <c r="N295" s="676">
        <f t="shared" si="71"/>
        <v>154</v>
      </c>
      <c r="O295" s="676">
        <f t="shared" si="71"/>
        <v>142</v>
      </c>
      <c r="P295" s="677">
        <f>SUM(D295:O295)</f>
        <v>2282</v>
      </c>
      <c r="S295" s="229"/>
    </row>
    <row r="296" spans="1:19" x14ac:dyDescent="0.2">
      <c r="A296" s="672">
        <f>A295+1</f>
        <v>25</v>
      </c>
      <c r="B296" s="478" t="s">
        <v>259</v>
      </c>
      <c r="C296" s="650"/>
      <c r="D296" s="498">
        <f t="shared" ref="D296:O296" si="72">SUM(D293:D295)</f>
        <v>27687</v>
      </c>
      <c r="E296" s="498">
        <f t="shared" si="72"/>
        <v>27715</v>
      </c>
      <c r="F296" s="498">
        <f t="shared" si="72"/>
        <v>27999</v>
      </c>
      <c r="G296" s="498">
        <f t="shared" si="72"/>
        <v>27896</v>
      </c>
      <c r="H296" s="498">
        <f t="shared" si="72"/>
        <v>27790</v>
      </c>
      <c r="I296" s="498">
        <f t="shared" si="72"/>
        <v>27548</v>
      </c>
      <c r="J296" s="498">
        <f t="shared" si="72"/>
        <v>27376</v>
      </c>
      <c r="K296" s="498">
        <f t="shared" si="72"/>
        <v>27300</v>
      </c>
      <c r="L296" s="498">
        <f t="shared" si="72"/>
        <v>27224</v>
      </c>
      <c r="M296" s="498">
        <f t="shared" si="72"/>
        <v>27208</v>
      </c>
      <c r="N296" s="498">
        <f t="shared" si="72"/>
        <v>27459</v>
      </c>
      <c r="O296" s="498">
        <f t="shared" si="72"/>
        <v>27679</v>
      </c>
      <c r="P296" s="674">
        <f>SUM(D296:O296)</f>
        <v>330881</v>
      </c>
      <c r="S296" s="229"/>
    </row>
    <row r="297" spans="1:19" s="301" customFormat="1" x14ac:dyDescent="0.2">
      <c r="A297" s="445"/>
      <c r="C297" s="605"/>
      <c r="D297" s="256"/>
      <c r="E297" s="605"/>
      <c r="F297" s="605"/>
      <c r="G297" s="605"/>
      <c r="H297" s="256"/>
      <c r="I297" s="256"/>
      <c r="J297" s="256"/>
      <c r="P297" s="443"/>
    </row>
    <row r="298" spans="1:19" s="301" customFormat="1" x14ac:dyDescent="0.2">
      <c r="A298" s="672">
        <f>A296+1</f>
        <v>26</v>
      </c>
      <c r="B298" s="494" t="s">
        <v>301</v>
      </c>
      <c r="C298" s="605"/>
      <c r="D298" s="256"/>
      <c r="E298" s="605"/>
      <c r="F298" s="605"/>
      <c r="G298" s="605"/>
      <c r="H298" s="256"/>
      <c r="I298" s="256"/>
      <c r="J298" s="256"/>
      <c r="P298" s="443"/>
    </row>
    <row r="299" spans="1:19" x14ac:dyDescent="0.2">
      <c r="A299" s="672">
        <f>A298+1</f>
        <v>27</v>
      </c>
      <c r="B299" s="478" t="s">
        <v>288</v>
      </c>
      <c r="C299" s="650"/>
      <c r="D299" s="498">
        <f t="shared" ref="D299:O299" si="73">D143+D293</f>
        <v>135471</v>
      </c>
      <c r="E299" s="498">
        <f t="shared" si="73"/>
        <v>135700</v>
      </c>
      <c r="F299" s="498">
        <f t="shared" si="73"/>
        <v>135649</v>
      </c>
      <c r="G299" s="498">
        <f t="shared" si="73"/>
        <v>134836</v>
      </c>
      <c r="H299" s="498">
        <f t="shared" si="73"/>
        <v>134004</v>
      </c>
      <c r="I299" s="498">
        <f t="shared" si="73"/>
        <v>132919</v>
      </c>
      <c r="J299" s="498">
        <f t="shared" si="73"/>
        <v>132130</v>
      </c>
      <c r="K299" s="498">
        <f t="shared" si="73"/>
        <v>131763</v>
      </c>
      <c r="L299" s="498">
        <f t="shared" si="73"/>
        <v>131648</v>
      </c>
      <c r="M299" s="498">
        <f t="shared" si="73"/>
        <v>132088</v>
      </c>
      <c r="N299" s="498">
        <f t="shared" si="73"/>
        <v>133632</v>
      </c>
      <c r="O299" s="498">
        <f t="shared" si="73"/>
        <v>134935</v>
      </c>
      <c r="P299" s="674">
        <f>SUM(D299:O299)</f>
        <v>1604775</v>
      </c>
      <c r="S299" s="229"/>
    </row>
    <row r="300" spans="1:19" x14ac:dyDescent="0.2">
      <c r="A300" s="672">
        <f>A299+1</f>
        <v>28</v>
      </c>
      <c r="B300" s="478" t="s">
        <v>244</v>
      </c>
      <c r="C300" s="650"/>
      <c r="D300" s="498">
        <f t="shared" ref="D300:O300" si="74">D144+D294</f>
        <v>3</v>
      </c>
      <c r="E300" s="304">
        <f t="shared" si="74"/>
        <v>3</v>
      </c>
      <c r="F300" s="304">
        <f t="shared" si="74"/>
        <v>3</v>
      </c>
      <c r="G300" s="304">
        <f t="shared" si="74"/>
        <v>3</v>
      </c>
      <c r="H300" s="304">
        <f t="shared" si="74"/>
        <v>3</v>
      </c>
      <c r="I300" s="304">
        <f t="shared" si="74"/>
        <v>3</v>
      </c>
      <c r="J300" s="304">
        <f t="shared" si="74"/>
        <v>5</v>
      </c>
      <c r="K300" s="304">
        <f t="shared" si="74"/>
        <v>5</v>
      </c>
      <c r="L300" s="304">
        <f t="shared" si="74"/>
        <v>5</v>
      </c>
      <c r="M300" s="304">
        <f t="shared" si="74"/>
        <v>5</v>
      </c>
      <c r="N300" s="304">
        <f t="shared" si="74"/>
        <v>5</v>
      </c>
      <c r="O300" s="304">
        <f t="shared" si="74"/>
        <v>32</v>
      </c>
      <c r="P300" s="674">
        <f>SUM(D300:O300)</f>
        <v>75</v>
      </c>
      <c r="S300" s="229"/>
    </row>
    <row r="301" spans="1:19" ht="12" x14ac:dyDescent="0.35">
      <c r="A301" s="672">
        <f>A300+1</f>
        <v>29</v>
      </c>
      <c r="B301" s="478" t="s">
        <v>289</v>
      </c>
      <c r="C301" s="650"/>
      <c r="D301" s="676">
        <f t="shared" ref="D301:O301" si="75">D145+D295</f>
        <v>1789</v>
      </c>
      <c r="E301" s="676">
        <f t="shared" si="75"/>
        <v>1836</v>
      </c>
      <c r="F301" s="676">
        <f t="shared" si="75"/>
        <v>2005</v>
      </c>
      <c r="G301" s="676">
        <f t="shared" si="75"/>
        <v>2664</v>
      </c>
      <c r="H301" s="676">
        <f t="shared" si="75"/>
        <v>2785</v>
      </c>
      <c r="I301" s="676">
        <f t="shared" si="75"/>
        <v>2582</v>
      </c>
      <c r="J301" s="676">
        <f t="shared" si="75"/>
        <v>2345</v>
      </c>
      <c r="K301" s="676">
        <f t="shared" si="75"/>
        <v>3001</v>
      </c>
      <c r="L301" s="676">
        <f t="shared" si="75"/>
        <v>2370</v>
      </c>
      <c r="M301" s="676">
        <f t="shared" si="75"/>
        <v>1923</v>
      </c>
      <c r="N301" s="676">
        <f t="shared" si="75"/>
        <v>1809</v>
      </c>
      <c r="O301" s="676">
        <f t="shared" si="75"/>
        <v>1794</v>
      </c>
      <c r="P301" s="677">
        <f>SUM(D301:O301)</f>
        <v>26903</v>
      </c>
      <c r="S301" s="229"/>
    </row>
    <row r="302" spans="1:19" ht="10.8" thickBot="1" x14ac:dyDescent="0.25">
      <c r="A302" s="680">
        <f>A301+1</f>
        <v>30</v>
      </c>
      <c r="B302" s="681" t="s">
        <v>259</v>
      </c>
      <c r="C302" s="682"/>
      <c r="D302" s="683">
        <f t="shared" ref="D302:O302" si="76">SUM(D299:D301)</f>
        <v>137263</v>
      </c>
      <c r="E302" s="683">
        <f t="shared" si="76"/>
        <v>137539</v>
      </c>
      <c r="F302" s="683">
        <f t="shared" si="76"/>
        <v>137657</v>
      </c>
      <c r="G302" s="683">
        <f t="shared" si="76"/>
        <v>137503</v>
      </c>
      <c r="H302" s="683">
        <f t="shared" si="76"/>
        <v>136792</v>
      </c>
      <c r="I302" s="683">
        <f t="shared" si="76"/>
        <v>135504</v>
      </c>
      <c r="J302" s="683">
        <f t="shared" si="76"/>
        <v>134480</v>
      </c>
      <c r="K302" s="683">
        <f t="shared" si="76"/>
        <v>134769</v>
      </c>
      <c r="L302" s="683">
        <f t="shared" si="76"/>
        <v>134023</v>
      </c>
      <c r="M302" s="683">
        <f t="shared" si="76"/>
        <v>134016</v>
      </c>
      <c r="N302" s="683">
        <f t="shared" si="76"/>
        <v>135446</v>
      </c>
      <c r="O302" s="683">
        <f t="shared" si="76"/>
        <v>136761</v>
      </c>
      <c r="P302" s="684">
        <f>SUM(D302:O302)</f>
        <v>1631753</v>
      </c>
      <c r="S302" s="229"/>
    </row>
    <row r="303" spans="1:19" x14ac:dyDescent="0.2">
      <c r="A303" s="584"/>
      <c r="B303" s="667"/>
      <c r="C303" s="658"/>
      <c r="D303" s="591"/>
      <c r="E303" s="591"/>
      <c r="F303" s="591"/>
      <c r="G303" s="591"/>
      <c r="H303" s="591"/>
      <c r="I303" s="591"/>
      <c r="J303" s="592"/>
      <c r="K303" s="592"/>
      <c r="L303" s="592"/>
      <c r="M303" s="592"/>
      <c r="N303" s="592"/>
      <c r="O303" s="592"/>
      <c r="P303" s="592"/>
      <c r="S303" s="229"/>
    </row>
    <row r="304" spans="1:19" x14ac:dyDescent="0.2">
      <c r="A304" s="584"/>
      <c r="B304" s="667"/>
      <c r="C304" s="658"/>
      <c r="D304" s="591"/>
      <c r="E304" s="591"/>
      <c r="F304" s="591"/>
      <c r="G304" s="591"/>
      <c r="H304" s="591"/>
      <c r="I304" s="591"/>
      <c r="J304" s="592"/>
      <c r="K304" s="592"/>
      <c r="L304" s="592"/>
      <c r="M304" s="592"/>
      <c r="N304" s="592"/>
      <c r="O304" s="592"/>
      <c r="P304" s="592"/>
      <c r="S304" s="229"/>
    </row>
    <row r="305" spans="1:19" ht="10.8" thickBot="1" x14ac:dyDescent="0.25">
      <c r="A305" s="584"/>
      <c r="B305" s="667"/>
      <c r="C305" s="658"/>
      <c r="D305" s="591"/>
      <c r="E305" s="591"/>
      <c r="F305" s="591"/>
      <c r="G305" s="591"/>
      <c r="H305" s="591"/>
      <c r="I305" s="591"/>
      <c r="J305" s="592"/>
      <c r="K305" s="592"/>
      <c r="L305" s="592"/>
      <c r="M305" s="592"/>
      <c r="N305" s="592"/>
      <c r="O305" s="592"/>
      <c r="P305" s="592"/>
      <c r="S305" s="229"/>
    </row>
    <row r="306" spans="1:19" x14ac:dyDescent="0.2">
      <c r="A306" s="584"/>
      <c r="B306" s="689" t="s">
        <v>463</v>
      </c>
      <c r="C306" s="690"/>
      <c r="D306" s="691" t="s">
        <v>471</v>
      </c>
      <c r="E306" s="692"/>
      <c r="F306" s="592"/>
      <c r="G306" s="592"/>
      <c r="H306" s="592"/>
      <c r="I306" s="592"/>
      <c r="J306" s="592"/>
      <c r="K306" s="592"/>
      <c r="L306" s="425"/>
      <c r="O306" s="229"/>
    </row>
    <row r="307" spans="1:19" x14ac:dyDescent="0.2">
      <c r="A307" s="301"/>
      <c r="B307" s="693"/>
      <c r="C307" s="694" t="s">
        <v>464</v>
      </c>
      <c r="D307" s="694" t="s">
        <v>472</v>
      </c>
      <c r="E307" s="695" t="s">
        <v>466</v>
      </c>
      <c r="F307" s="301"/>
      <c r="G307" s="301"/>
      <c r="H307" s="301"/>
      <c r="I307" s="301"/>
      <c r="J307" s="301"/>
      <c r="K307" s="301"/>
    </row>
    <row r="308" spans="1:19" x14ac:dyDescent="0.2">
      <c r="A308" s="301"/>
      <c r="B308" s="696" t="s">
        <v>467</v>
      </c>
      <c r="C308" s="697">
        <f>P15+P25+P30+P35+P40+P45+P68+P73</f>
        <v>1157429</v>
      </c>
      <c r="D308" s="698">
        <v>1157429</v>
      </c>
      <c r="E308" s="699">
        <f t="shared" ref="E308:E309" si="77">C308-D308</f>
        <v>0</v>
      </c>
      <c r="F308" s="301"/>
      <c r="G308" s="301"/>
      <c r="H308" s="301"/>
      <c r="I308" s="301"/>
      <c r="J308" s="301"/>
      <c r="K308" s="301"/>
    </row>
    <row r="309" spans="1:19" x14ac:dyDescent="0.2">
      <c r="A309" s="301"/>
      <c r="B309" s="700" t="s">
        <v>468</v>
      </c>
      <c r="C309" s="697">
        <f>P162</f>
        <v>279879</v>
      </c>
      <c r="D309" s="698">
        <v>279879</v>
      </c>
      <c r="E309" s="699">
        <f t="shared" si="77"/>
        <v>0</v>
      </c>
      <c r="F309" s="301"/>
      <c r="G309" s="301"/>
      <c r="H309" s="301"/>
      <c r="I309" s="301"/>
      <c r="J309" s="301"/>
      <c r="K309" s="301"/>
    </row>
    <row r="310" spans="1:19" x14ac:dyDescent="0.2">
      <c r="A310" s="301"/>
      <c r="B310" s="700" t="s">
        <v>469</v>
      </c>
      <c r="C310" s="697">
        <f>P20+P50+P78+P84+P90+P96</f>
        <v>118804</v>
      </c>
      <c r="D310" s="698">
        <f>120076-324-948</f>
        <v>118804</v>
      </c>
      <c r="E310" s="699">
        <f>C310-D310</f>
        <v>0</v>
      </c>
      <c r="F310" s="301"/>
      <c r="G310" s="301"/>
      <c r="H310" s="301"/>
      <c r="I310" s="301"/>
      <c r="J310" s="301"/>
      <c r="K310" s="301"/>
    </row>
    <row r="311" spans="1:19" x14ac:dyDescent="0.2">
      <c r="A311" s="301"/>
      <c r="B311" s="700" t="s">
        <v>470</v>
      </c>
      <c r="C311" s="697">
        <f>P167+P173</f>
        <v>47391</v>
      </c>
      <c r="D311" s="698">
        <v>47391</v>
      </c>
      <c r="E311" s="699">
        <f t="shared" ref="E311:E312" si="78">C311-D311</f>
        <v>0</v>
      </c>
      <c r="F311" s="301"/>
      <c r="G311" s="301"/>
      <c r="H311" s="301"/>
      <c r="I311" s="301"/>
      <c r="J311" s="301"/>
      <c r="K311" s="301"/>
    </row>
    <row r="312" spans="1:19" ht="12" x14ac:dyDescent="0.35">
      <c r="A312" s="301"/>
      <c r="B312" s="700" t="s">
        <v>309</v>
      </c>
      <c r="C312" s="701">
        <f>P179+P185+P191+P197+P219+P225+P231+P237+P243+P249+P268</f>
        <v>1272</v>
      </c>
      <c r="D312" s="702">
        <v>1272</v>
      </c>
      <c r="E312" s="703">
        <f t="shared" si="78"/>
        <v>0</v>
      </c>
      <c r="F312" s="301"/>
      <c r="G312" s="301"/>
      <c r="H312" s="301"/>
      <c r="I312" s="301"/>
      <c r="J312" s="301"/>
      <c r="K312" s="301"/>
    </row>
    <row r="313" spans="1:19" ht="10.8" thickBot="1" x14ac:dyDescent="0.25">
      <c r="A313" s="301"/>
      <c r="B313" s="704"/>
      <c r="C313" s="705">
        <f>SUM(C308:C312)</f>
        <v>1604775</v>
      </c>
      <c r="D313" s="705">
        <f>SUM(D308:D312)</f>
        <v>1604775</v>
      </c>
      <c r="E313" s="706">
        <f>SUM(E308:E312)</f>
        <v>0</v>
      </c>
      <c r="F313" s="301"/>
      <c r="G313" s="301"/>
      <c r="H313" s="301"/>
      <c r="I313" s="301"/>
      <c r="J313" s="301"/>
      <c r="K313" s="301"/>
    </row>
    <row r="314" spans="1:19" x14ac:dyDescent="0.2">
      <c r="A314" s="301"/>
      <c r="B314" s="301"/>
      <c r="C314" s="302"/>
      <c r="D314" s="301"/>
      <c r="E314" s="302"/>
      <c r="F314" s="301"/>
      <c r="G314" s="301"/>
      <c r="H314" s="301"/>
      <c r="I314" s="301"/>
      <c r="J314" s="301"/>
      <c r="K314" s="301"/>
    </row>
    <row r="315" spans="1:19" ht="15" customHeight="1" x14ac:dyDescent="0.2">
      <c r="A315" s="301"/>
      <c r="B315" s="707"/>
      <c r="C315" s="708"/>
      <c r="D315" s="708"/>
      <c r="E315" s="709"/>
      <c r="F315" s="301"/>
      <c r="G315" s="301"/>
      <c r="H315" s="301"/>
      <c r="I315" s="301"/>
      <c r="J315" s="301"/>
      <c r="K315" s="301"/>
    </row>
    <row r="316" spans="1:19" ht="15" customHeight="1" x14ac:dyDescent="0.2">
      <c r="A316" s="301"/>
      <c r="B316" s="301"/>
      <c r="C316" s="302"/>
      <c r="D316" s="301"/>
      <c r="E316" s="302"/>
      <c r="F316" s="301"/>
      <c r="G316" s="301"/>
      <c r="H316" s="301"/>
      <c r="I316" s="301"/>
      <c r="J316" s="301"/>
      <c r="K316" s="301"/>
    </row>
    <row r="317" spans="1:19" ht="15" customHeight="1" x14ac:dyDescent="0.2">
      <c r="A317" s="301"/>
      <c r="B317" s="301"/>
      <c r="C317" s="302"/>
      <c r="D317" s="301"/>
      <c r="E317" s="302"/>
      <c r="F317" s="301"/>
      <c r="G317" s="301"/>
      <c r="H317" s="301"/>
      <c r="I317" s="301"/>
      <c r="J317" s="301"/>
      <c r="K317" s="301"/>
    </row>
    <row r="318" spans="1:19" ht="15" customHeight="1" x14ac:dyDescent="0.2">
      <c r="A318" s="301"/>
      <c r="B318" s="301"/>
      <c r="C318" s="302"/>
      <c r="D318" s="301"/>
      <c r="E318" s="302"/>
      <c r="F318" s="301"/>
      <c r="G318" s="301"/>
      <c r="H318" s="301"/>
      <c r="I318" s="301"/>
      <c r="J318" s="301"/>
      <c r="K318" s="301"/>
    </row>
    <row r="319" spans="1:19" ht="15" customHeight="1" x14ac:dyDescent="0.2">
      <c r="A319" s="301"/>
      <c r="B319" s="301"/>
      <c r="C319" s="302"/>
      <c r="D319" s="301"/>
      <c r="E319" s="302"/>
      <c r="F319" s="301"/>
      <c r="G319" s="301"/>
      <c r="H319" s="301"/>
      <c r="I319" s="301"/>
      <c r="J319" s="301"/>
      <c r="K319" s="301"/>
    </row>
    <row r="320" spans="1:19" ht="15" customHeight="1" x14ac:dyDescent="0.2">
      <c r="A320" s="301"/>
      <c r="B320" s="301"/>
      <c r="C320" s="302"/>
      <c r="D320" s="301"/>
      <c r="E320" s="302"/>
      <c r="F320" s="301"/>
      <c r="G320" s="301"/>
      <c r="H320" s="301"/>
      <c r="I320" s="301"/>
      <c r="J320" s="301"/>
      <c r="K320" s="301"/>
    </row>
    <row r="321" spans="1:16" ht="15" customHeight="1" x14ac:dyDescent="0.2">
      <c r="A321" s="301"/>
      <c r="B321" s="301"/>
      <c r="C321" s="302"/>
      <c r="D321" s="301"/>
      <c r="E321" s="302"/>
      <c r="F321" s="301"/>
      <c r="G321" s="301"/>
      <c r="H321" s="301"/>
      <c r="I321" s="301"/>
      <c r="J321" s="301"/>
      <c r="K321" s="301"/>
    </row>
    <row r="322" spans="1:16" ht="15" customHeight="1" x14ac:dyDescent="0.2">
      <c r="A322" s="301"/>
      <c r="B322" s="301"/>
      <c r="C322" s="302"/>
      <c r="D322" s="301"/>
      <c r="E322" s="302"/>
      <c r="F322" s="301"/>
      <c r="G322" s="301"/>
      <c r="H322" s="301"/>
      <c r="I322" s="301"/>
      <c r="J322" s="301"/>
      <c r="K322" s="301"/>
    </row>
    <row r="323" spans="1:16" ht="15" customHeight="1" x14ac:dyDescent="0.2">
      <c r="A323" s="301"/>
      <c r="B323" s="301"/>
      <c r="C323" s="302"/>
      <c r="D323" s="301"/>
      <c r="E323" s="302"/>
      <c r="F323" s="709"/>
      <c r="G323" s="709"/>
      <c r="H323" s="709"/>
      <c r="I323" s="709"/>
      <c r="J323" s="709"/>
      <c r="K323" s="710"/>
      <c r="L323" s="710"/>
      <c r="M323" s="710"/>
      <c r="N323" s="710"/>
      <c r="O323" s="710"/>
      <c r="P323" s="710"/>
    </row>
    <row r="324" spans="1:16" x14ac:dyDescent="0.2">
      <c r="A324" s="301"/>
      <c r="B324" s="301"/>
      <c r="C324" s="302"/>
      <c r="D324" s="301"/>
      <c r="E324" s="302"/>
      <c r="F324" s="302"/>
      <c r="G324" s="302"/>
      <c r="H324" s="301"/>
      <c r="I324" s="301"/>
      <c r="J324" s="301"/>
      <c r="K324" s="301"/>
      <c r="L324" s="301"/>
      <c r="M324" s="301"/>
      <c r="N324" s="301"/>
      <c r="O324" s="301"/>
      <c r="P324" s="301"/>
    </row>
    <row r="325" spans="1:16" x14ac:dyDescent="0.2">
      <c r="A325" s="301"/>
      <c r="B325" s="301"/>
      <c r="C325" s="302"/>
      <c r="D325" s="301"/>
      <c r="E325" s="302"/>
      <c r="F325" s="302"/>
      <c r="G325" s="302"/>
      <c r="H325" s="301"/>
      <c r="I325" s="301"/>
      <c r="J325" s="301"/>
      <c r="K325" s="301"/>
      <c r="L325" s="301"/>
      <c r="M325" s="301"/>
      <c r="N325" s="301"/>
      <c r="O325" s="301"/>
      <c r="P325" s="301"/>
    </row>
    <row r="326" spans="1:16" x14ac:dyDescent="0.2">
      <c r="A326" s="301"/>
      <c r="B326" s="301"/>
      <c r="C326" s="302"/>
      <c r="D326" s="301"/>
      <c r="E326" s="302"/>
      <c r="F326" s="302"/>
      <c r="G326" s="302"/>
      <c r="H326" s="301"/>
      <c r="I326" s="301"/>
      <c r="J326" s="301"/>
      <c r="K326" s="301"/>
      <c r="L326" s="301"/>
      <c r="M326" s="301"/>
      <c r="N326" s="301"/>
      <c r="O326" s="301"/>
      <c r="P326" s="301"/>
    </row>
    <row r="327" spans="1:16" x14ac:dyDescent="0.2">
      <c r="A327" s="301"/>
      <c r="B327" s="301"/>
      <c r="C327" s="302"/>
      <c r="D327" s="301"/>
      <c r="E327" s="302"/>
      <c r="F327" s="302"/>
      <c r="G327" s="302"/>
      <c r="H327" s="301"/>
      <c r="I327" s="301"/>
      <c r="J327" s="301"/>
      <c r="K327" s="301"/>
      <c r="L327" s="301"/>
      <c r="M327" s="301"/>
      <c r="N327" s="301"/>
      <c r="O327" s="301"/>
      <c r="P327" s="301"/>
    </row>
    <row r="328" spans="1:16" x14ac:dyDescent="0.2">
      <c r="A328" s="301"/>
      <c r="B328" s="301"/>
      <c r="C328" s="302"/>
      <c r="D328" s="301"/>
      <c r="E328" s="302"/>
      <c r="F328" s="302"/>
      <c r="G328" s="302"/>
      <c r="H328" s="301"/>
      <c r="I328" s="301"/>
      <c r="J328" s="301"/>
      <c r="K328" s="301"/>
      <c r="L328" s="301"/>
      <c r="M328" s="301"/>
      <c r="N328" s="301"/>
      <c r="O328" s="301"/>
      <c r="P328" s="301"/>
    </row>
    <row r="329" spans="1:16" x14ac:dyDescent="0.2">
      <c r="A329" s="301"/>
      <c r="B329" s="301"/>
      <c r="C329" s="302"/>
      <c r="D329" s="301"/>
      <c r="E329" s="302"/>
      <c r="F329" s="302"/>
      <c r="G329" s="302"/>
      <c r="H329" s="301"/>
      <c r="I329" s="301"/>
      <c r="J329" s="301"/>
      <c r="K329" s="301"/>
      <c r="L329" s="301"/>
      <c r="M329" s="301"/>
      <c r="N329" s="301"/>
      <c r="O329" s="301"/>
      <c r="P329" s="301"/>
    </row>
    <row r="330" spans="1:16" x14ac:dyDescent="0.2">
      <c r="A330" s="301"/>
      <c r="B330" s="301"/>
      <c r="C330" s="302"/>
      <c r="D330" s="301"/>
      <c r="E330" s="302"/>
      <c r="F330" s="302"/>
      <c r="G330" s="302"/>
      <c r="H330" s="301"/>
      <c r="I330" s="301"/>
      <c r="J330" s="301"/>
      <c r="K330" s="301"/>
      <c r="L330" s="301"/>
      <c r="M330" s="301"/>
      <c r="N330" s="301"/>
      <c r="O330" s="301"/>
      <c r="P330" s="301"/>
    </row>
    <row r="331" spans="1:16" x14ac:dyDescent="0.2">
      <c r="A331" s="301"/>
      <c r="B331" s="301"/>
      <c r="C331" s="302"/>
      <c r="D331" s="301"/>
      <c r="E331" s="302"/>
      <c r="F331" s="302"/>
      <c r="G331" s="302"/>
      <c r="H331" s="301"/>
      <c r="I331" s="301"/>
      <c r="J331" s="301"/>
      <c r="K331" s="301"/>
      <c r="L331" s="301"/>
      <c r="M331" s="301"/>
      <c r="N331" s="301"/>
      <c r="O331" s="301"/>
      <c r="P331" s="301"/>
    </row>
    <row r="332" spans="1:16" x14ac:dyDescent="0.2">
      <c r="A332" s="301"/>
      <c r="B332" s="301"/>
      <c r="C332" s="302"/>
      <c r="D332" s="301"/>
      <c r="E332" s="302"/>
      <c r="F332" s="302"/>
      <c r="G332" s="302"/>
      <c r="H332" s="301"/>
      <c r="I332" s="301"/>
      <c r="J332" s="301"/>
      <c r="K332" s="301"/>
      <c r="L332" s="301"/>
      <c r="M332" s="301"/>
      <c r="N332" s="301"/>
      <c r="O332" s="301"/>
      <c r="P332" s="301"/>
    </row>
    <row r="333" spans="1:16" x14ac:dyDescent="0.2">
      <c r="A333" s="301"/>
      <c r="B333" s="301"/>
      <c r="C333" s="302"/>
      <c r="D333" s="301"/>
      <c r="E333" s="302"/>
      <c r="F333" s="302"/>
      <c r="G333" s="302"/>
      <c r="H333" s="301"/>
      <c r="I333" s="301"/>
      <c r="J333" s="301"/>
      <c r="K333" s="301"/>
      <c r="L333" s="301"/>
      <c r="M333" s="301"/>
      <c r="N333" s="301"/>
      <c r="O333" s="301"/>
      <c r="P333" s="301"/>
    </row>
    <row r="334" spans="1:16" x14ac:dyDescent="0.2">
      <c r="A334" s="301"/>
      <c r="B334" s="301"/>
      <c r="C334" s="302"/>
      <c r="D334" s="301"/>
      <c r="E334" s="302"/>
      <c r="F334" s="302"/>
      <c r="G334" s="302"/>
      <c r="H334" s="301"/>
      <c r="I334" s="301"/>
      <c r="J334" s="301"/>
      <c r="K334" s="301"/>
      <c r="L334" s="301"/>
      <c r="M334" s="301"/>
      <c r="N334" s="301"/>
      <c r="O334" s="301"/>
      <c r="P334" s="301"/>
    </row>
    <row r="335" spans="1:16" x14ac:dyDescent="0.2">
      <c r="A335" s="301"/>
      <c r="B335" s="301"/>
      <c r="C335" s="302"/>
      <c r="D335" s="301"/>
      <c r="E335" s="302"/>
      <c r="F335" s="302"/>
      <c r="G335" s="302"/>
      <c r="H335" s="301"/>
      <c r="I335" s="301"/>
      <c r="J335" s="301"/>
      <c r="K335" s="301"/>
      <c r="L335" s="301"/>
      <c r="M335" s="301"/>
      <c r="N335" s="301"/>
      <c r="O335" s="301"/>
      <c r="P335" s="301"/>
    </row>
    <row r="336" spans="1:16" x14ac:dyDescent="0.2">
      <c r="A336" s="301"/>
      <c r="B336" s="301"/>
      <c r="C336" s="302"/>
      <c r="D336" s="301"/>
      <c r="E336" s="302"/>
      <c r="F336" s="302"/>
      <c r="G336" s="302"/>
      <c r="H336" s="301"/>
      <c r="I336" s="301"/>
      <c r="J336" s="301"/>
      <c r="K336" s="301"/>
      <c r="L336" s="301"/>
      <c r="M336" s="301"/>
      <c r="N336" s="301"/>
      <c r="O336" s="301"/>
      <c r="P336" s="301"/>
    </row>
    <row r="337" spans="1:16" x14ac:dyDescent="0.2">
      <c r="A337" s="301"/>
      <c r="B337" s="301"/>
      <c r="C337" s="302"/>
      <c r="D337" s="301"/>
      <c r="E337" s="302"/>
      <c r="F337" s="302"/>
      <c r="G337" s="302"/>
      <c r="H337" s="301"/>
      <c r="I337" s="301"/>
      <c r="J337" s="301"/>
      <c r="K337" s="301"/>
      <c r="L337" s="301"/>
      <c r="M337" s="301"/>
      <c r="N337" s="301"/>
      <c r="O337" s="301"/>
      <c r="P337" s="301"/>
    </row>
    <row r="338" spans="1:16" x14ac:dyDescent="0.2">
      <c r="A338" s="301"/>
      <c r="B338" s="301"/>
      <c r="C338" s="302"/>
      <c r="D338" s="301"/>
      <c r="E338" s="302"/>
      <c r="F338" s="302"/>
      <c r="G338" s="302"/>
      <c r="H338" s="301"/>
      <c r="I338" s="301"/>
      <c r="J338" s="301"/>
      <c r="K338" s="301"/>
      <c r="L338" s="301"/>
      <c r="M338" s="301"/>
      <c r="N338" s="301"/>
      <c r="O338" s="301"/>
      <c r="P338" s="301"/>
    </row>
    <row r="339" spans="1:16" x14ac:dyDescent="0.2">
      <c r="A339" s="301"/>
      <c r="B339" s="301"/>
      <c r="C339" s="302"/>
      <c r="D339" s="301"/>
      <c r="E339" s="302"/>
      <c r="F339" s="302"/>
      <c r="G339" s="302"/>
      <c r="H339" s="301"/>
      <c r="I339" s="301"/>
      <c r="J339" s="301"/>
      <c r="K339" s="301"/>
      <c r="L339" s="301"/>
      <c r="M339" s="301"/>
      <c r="N339" s="301"/>
      <c r="O339" s="301"/>
      <c r="P339" s="301"/>
    </row>
    <row r="340" spans="1:16" x14ac:dyDescent="0.2">
      <c r="A340" s="301"/>
      <c r="B340" s="301"/>
      <c r="C340" s="302"/>
      <c r="D340" s="301"/>
      <c r="E340" s="302"/>
      <c r="F340" s="302"/>
      <c r="G340" s="302"/>
      <c r="H340" s="301"/>
      <c r="I340" s="301"/>
      <c r="J340" s="301"/>
      <c r="K340" s="301"/>
      <c r="L340" s="301"/>
      <c r="M340" s="301"/>
      <c r="N340" s="301"/>
      <c r="O340" s="301"/>
      <c r="P340" s="301"/>
    </row>
    <row r="341" spans="1:16" x14ac:dyDescent="0.2">
      <c r="A341" s="301"/>
      <c r="B341" s="301"/>
      <c r="C341" s="302"/>
      <c r="D341" s="301"/>
      <c r="E341" s="302"/>
      <c r="F341" s="302"/>
      <c r="G341" s="302"/>
      <c r="H341" s="301"/>
      <c r="I341" s="301"/>
      <c r="J341" s="301"/>
      <c r="K341" s="301"/>
      <c r="L341" s="301"/>
      <c r="M341" s="301"/>
      <c r="N341" s="301"/>
      <c r="O341" s="301"/>
      <c r="P341" s="301"/>
    </row>
    <row r="342" spans="1:16" x14ac:dyDescent="0.2">
      <c r="A342" s="301"/>
      <c r="B342" s="301"/>
      <c r="C342" s="302"/>
      <c r="D342" s="301"/>
      <c r="E342" s="302"/>
      <c r="F342" s="302"/>
      <c r="G342" s="302"/>
      <c r="H342" s="301"/>
      <c r="I342" s="301"/>
      <c r="J342" s="301"/>
      <c r="K342" s="301"/>
      <c r="L342" s="301"/>
      <c r="M342" s="301"/>
      <c r="N342" s="301"/>
      <c r="O342" s="301"/>
      <c r="P342" s="301"/>
    </row>
    <row r="343" spans="1:16" x14ac:dyDescent="0.2">
      <c r="A343" s="301"/>
      <c r="B343" s="301"/>
      <c r="C343" s="302"/>
      <c r="D343" s="301"/>
      <c r="E343" s="302"/>
      <c r="F343" s="302"/>
      <c r="G343" s="302"/>
      <c r="H343" s="301"/>
      <c r="I343" s="301"/>
      <c r="J343" s="301"/>
      <c r="K343" s="301"/>
      <c r="L343" s="301"/>
      <c r="M343" s="301"/>
      <c r="N343" s="301"/>
      <c r="O343" s="301"/>
      <c r="P343" s="301"/>
    </row>
    <row r="344" spans="1:16" x14ac:dyDescent="0.2">
      <c r="A344" s="301"/>
      <c r="B344" s="301"/>
      <c r="C344" s="302"/>
      <c r="D344" s="301"/>
      <c r="E344" s="302"/>
      <c r="F344" s="302"/>
      <c r="G344" s="302"/>
      <c r="H344" s="301"/>
      <c r="I344" s="301"/>
      <c r="J344" s="301"/>
      <c r="K344" s="301"/>
      <c r="L344" s="301"/>
      <c r="M344" s="301"/>
      <c r="N344" s="301"/>
      <c r="O344" s="301"/>
      <c r="P344" s="301"/>
    </row>
    <row r="345" spans="1:16" x14ac:dyDescent="0.2">
      <c r="A345" s="301"/>
      <c r="B345" s="301"/>
      <c r="C345" s="302"/>
      <c r="D345" s="301"/>
      <c r="E345" s="302"/>
      <c r="F345" s="302"/>
      <c r="G345" s="302"/>
      <c r="H345" s="301"/>
      <c r="I345" s="301"/>
      <c r="J345" s="301"/>
      <c r="K345" s="301"/>
      <c r="L345" s="301"/>
      <c r="M345" s="301"/>
      <c r="N345" s="301"/>
      <c r="O345" s="301"/>
      <c r="P345" s="301"/>
    </row>
    <row r="346" spans="1:16" x14ac:dyDescent="0.2">
      <c r="A346" s="301"/>
      <c r="B346" s="301"/>
      <c r="C346" s="302"/>
      <c r="D346" s="301"/>
      <c r="E346" s="302"/>
      <c r="F346" s="302"/>
      <c r="G346" s="302"/>
      <c r="H346" s="301"/>
      <c r="I346" s="301"/>
      <c r="J346" s="301"/>
      <c r="K346" s="301"/>
      <c r="L346" s="301"/>
      <c r="M346" s="301"/>
      <c r="N346" s="301"/>
      <c r="O346" s="301"/>
      <c r="P346" s="301"/>
    </row>
    <row r="347" spans="1:16" x14ac:dyDescent="0.2">
      <c r="A347" s="301"/>
      <c r="B347" s="301"/>
      <c r="C347" s="302"/>
      <c r="D347" s="301"/>
      <c r="E347" s="302"/>
      <c r="F347" s="302"/>
      <c r="G347" s="302"/>
      <c r="H347" s="301"/>
      <c r="I347" s="301"/>
      <c r="J347" s="301"/>
      <c r="K347" s="301"/>
      <c r="L347" s="301"/>
      <c r="M347" s="301"/>
      <c r="N347" s="301"/>
      <c r="O347" s="301"/>
      <c r="P347" s="301"/>
    </row>
    <row r="348" spans="1:16" x14ac:dyDescent="0.2">
      <c r="A348" s="301"/>
      <c r="B348" s="301"/>
      <c r="C348" s="302"/>
      <c r="D348" s="301"/>
      <c r="E348" s="302"/>
      <c r="F348" s="302"/>
      <c r="G348" s="302"/>
      <c r="H348" s="301"/>
      <c r="I348" s="301"/>
      <c r="J348" s="301"/>
      <c r="K348" s="301"/>
      <c r="L348" s="301"/>
      <c r="M348" s="301"/>
      <c r="N348" s="301"/>
      <c r="O348" s="301"/>
      <c r="P348" s="301"/>
    </row>
    <row r="349" spans="1:16" x14ac:dyDescent="0.2">
      <c r="A349" s="301"/>
      <c r="B349" s="301"/>
      <c r="C349" s="302"/>
      <c r="D349" s="301"/>
      <c r="E349" s="302"/>
      <c r="F349" s="302"/>
      <c r="G349" s="302"/>
      <c r="H349" s="301"/>
      <c r="I349" s="301"/>
      <c r="J349" s="301"/>
      <c r="K349" s="301"/>
      <c r="L349" s="301"/>
      <c r="M349" s="301"/>
      <c r="N349" s="301"/>
      <c r="O349" s="301"/>
      <c r="P349" s="301"/>
    </row>
    <row r="350" spans="1:16" x14ac:dyDescent="0.2">
      <c r="A350" s="301"/>
      <c r="B350" s="301"/>
      <c r="C350" s="302"/>
      <c r="D350" s="301"/>
      <c r="E350" s="302"/>
      <c r="F350" s="302"/>
      <c r="G350" s="302"/>
      <c r="H350" s="301"/>
      <c r="I350" s="301"/>
      <c r="J350" s="301"/>
      <c r="K350" s="301"/>
      <c r="L350" s="301"/>
      <c r="M350" s="301"/>
      <c r="N350" s="301"/>
      <c r="O350" s="301"/>
      <c r="P350" s="301"/>
    </row>
    <row r="351" spans="1:16" x14ac:dyDescent="0.2">
      <c r="A351" s="301"/>
      <c r="B351" s="301"/>
      <c r="C351" s="302"/>
      <c r="D351" s="301"/>
      <c r="E351" s="302"/>
      <c r="F351" s="302"/>
      <c r="G351" s="302"/>
      <c r="H351" s="301"/>
      <c r="I351" s="301"/>
      <c r="J351" s="301"/>
      <c r="K351" s="301"/>
      <c r="L351" s="301"/>
      <c r="M351" s="301"/>
      <c r="N351" s="301"/>
      <c r="O351" s="301"/>
      <c r="P351" s="301"/>
    </row>
    <row r="352" spans="1:16" x14ac:dyDescent="0.2">
      <c r="A352" s="301"/>
      <c r="B352" s="301"/>
      <c r="C352" s="302"/>
      <c r="D352" s="301"/>
      <c r="E352" s="302"/>
      <c r="F352" s="302"/>
      <c r="G352" s="302"/>
      <c r="H352" s="301"/>
      <c r="I352" s="301"/>
      <c r="J352" s="301"/>
      <c r="K352" s="301"/>
      <c r="L352" s="301"/>
      <c r="M352" s="301"/>
      <c r="N352" s="301"/>
      <c r="O352" s="301"/>
      <c r="P352" s="301"/>
    </row>
    <row r="353" spans="1:16" x14ac:dyDescent="0.2">
      <c r="A353" s="301"/>
      <c r="B353" s="301"/>
      <c r="C353" s="302"/>
      <c r="D353" s="301"/>
      <c r="E353" s="302"/>
      <c r="F353" s="302"/>
      <c r="G353" s="302"/>
      <c r="H353" s="301"/>
      <c r="I353" s="301"/>
      <c r="J353" s="301"/>
      <c r="K353" s="301"/>
      <c r="L353" s="301"/>
      <c r="M353" s="301"/>
      <c r="N353" s="301"/>
      <c r="O353" s="301"/>
      <c r="P353" s="301"/>
    </row>
    <row r="354" spans="1:16" x14ac:dyDescent="0.2">
      <c r="A354" s="301"/>
      <c r="B354" s="301"/>
      <c r="C354" s="302"/>
      <c r="D354" s="301"/>
      <c r="E354" s="302"/>
      <c r="F354" s="302"/>
      <c r="G354" s="302"/>
      <c r="H354" s="301"/>
      <c r="I354" s="301"/>
      <c r="J354" s="301"/>
      <c r="K354" s="301"/>
      <c r="L354" s="301"/>
      <c r="M354" s="301"/>
      <c r="N354" s="301"/>
      <c r="O354" s="301"/>
      <c r="P354" s="301"/>
    </row>
    <row r="355" spans="1:16" x14ac:dyDescent="0.2">
      <c r="A355" s="301"/>
      <c r="F355" s="302"/>
      <c r="G355" s="302"/>
      <c r="H355" s="301"/>
      <c r="I355" s="301"/>
      <c r="J355" s="301"/>
      <c r="K355" s="301"/>
      <c r="L355" s="301"/>
      <c r="M355" s="301"/>
      <c r="N355" s="301"/>
      <c r="O355" s="301"/>
      <c r="P355" s="301"/>
    </row>
    <row r="356" spans="1:16" x14ac:dyDescent="0.2">
      <c r="A356" s="301"/>
      <c r="F356" s="302"/>
      <c r="G356" s="302"/>
      <c r="H356" s="301"/>
      <c r="I356" s="301"/>
      <c r="J356" s="301"/>
      <c r="K356" s="301"/>
      <c r="L356" s="301"/>
      <c r="M356" s="301"/>
      <c r="N356" s="301"/>
      <c r="O356" s="301"/>
      <c r="P356" s="301"/>
    </row>
    <row r="357" spans="1:16" x14ac:dyDescent="0.2">
      <c r="A357" s="301"/>
      <c r="F357" s="302"/>
      <c r="G357" s="302"/>
      <c r="H357" s="301"/>
      <c r="I357" s="301"/>
      <c r="J357" s="301"/>
      <c r="K357" s="301"/>
      <c r="L357" s="301"/>
      <c r="M357" s="301"/>
      <c r="N357" s="301"/>
      <c r="O357" s="301"/>
      <c r="P357" s="301"/>
    </row>
    <row r="358" spans="1:16" x14ac:dyDescent="0.2">
      <c r="A358" s="301"/>
      <c r="F358" s="302"/>
      <c r="G358" s="302"/>
      <c r="H358" s="301"/>
      <c r="I358" s="301"/>
      <c r="J358" s="301"/>
      <c r="K358" s="301"/>
      <c r="L358" s="301"/>
      <c r="M358" s="301"/>
      <c r="N358" s="301"/>
      <c r="O358" s="301"/>
      <c r="P358" s="301"/>
    </row>
    <row r="359" spans="1:16" x14ac:dyDescent="0.2">
      <c r="A359" s="301"/>
      <c r="F359" s="302"/>
      <c r="G359" s="302"/>
      <c r="H359" s="301"/>
      <c r="I359" s="301"/>
      <c r="J359" s="301"/>
      <c r="K359" s="301"/>
      <c r="L359" s="301"/>
      <c r="M359" s="301"/>
      <c r="N359" s="301"/>
      <c r="O359" s="301"/>
      <c r="P359" s="301"/>
    </row>
    <row r="360" spans="1:16" x14ac:dyDescent="0.2">
      <c r="A360" s="301"/>
      <c r="F360" s="302"/>
      <c r="G360" s="302"/>
      <c r="H360" s="301"/>
      <c r="I360" s="301"/>
      <c r="J360" s="301"/>
      <c r="K360" s="301"/>
      <c r="L360" s="301"/>
      <c r="M360" s="301"/>
      <c r="N360" s="301"/>
      <c r="O360" s="301"/>
      <c r="P360" s="301"/>
    </row>
    <row r="361" spans="1:16" x14ac:dyDescent="0.2">
      <c r="A361" s="301"/>
      <c r="F361" s="302"/>
      <c r="G361" s="302"/>
      <c r="H361" s="301"/>
      <c r="I361" s="301"/>
      <c r="J361" s="301"/>
      <c r="K361" s="301"/>
      <c r="L361" s="301"/>
      <c r="M361" s="301"/>
      <c r="N361" s="301"/>
      <c r="O361" s="301"/>
      <c r="P361" s="301"/>
    </row>
    <row r="362" spans="1:16" x14ac:dyDescent="0.2">
      <c r="A362" s="301"/>
      <c r="F362" s="302"/>
      <c r="G362" s="302"/>
      <c r="H362" s="301"/>
      <c r="I362" s="301"/>
      <c r="J362" s="301"/>
      <c r="K362" s="301"/>
      <c r="L362" s="301"/>
      <c r="M362" s="301"/>
      <c r="N362" s="301"/>
      <c r="O362" s="301"/>
      <c r="P362" s="301"/>
    </row>
  </sheetData>
  <mergeCells count="18">
    <mergeCell ref="A106:P106"/>
    <mergeCell ref="A1:P1"/>
    <mergeCell ref="A54:P54"/>
    <mergeCell ref="A55:P55"/>
    <mergeCell ref="A105:P105"/>
    <mergeCell ref="A104:P104"/>
    <mergeCell ref="A56:P56"/>
    <mergeCell ref="A3:P3"/>
    <mergeCell ref="A2:P2"/>
    <mergeCell ref="A254:P254"/>
    <mergeCell ref="A255:P255"/>
    <mergeCell ref="A256:P256"/>
    <mergeCell ref="A148:P148"/>
    <mergeCell ref="A149:P149"/>
    <mergeCell ref="A150:P150"/>
    <mergeCell ref="A207:P207"/>
    <mergeCell ref="A206:P206"/>
    <mergeCell ref="A205:P205"/>
  </mergeCells>
  <phoneticPr fontId="0" type="noConversion"/>
  <printOptions horizontalCentered="1"/>
  <pageMargins left="1" right="1" top="1" bottom="1" header="0.5" footer="0.5"/>
  <pageSetup scale="84" orientation="landscape" r:id="rId1"/>
  <headerFooter alignWithMargins="0">
    <oddHeader>&amp;RKY PSC Case No. 2016-0016
Attachment A to PSC 3-3(b)</oddHeader>
  </headerFooter>
  <rowBreaks count="7" manualBreakCount="7">
    <brk id="53" max="15" man="1"/>
    <brk id="102" max="15" man="1"/>
    <brk id="147" max="15" man="1"/>
    <brk id="200" max="15" man="1"/>
    <brk id="253" max="15" man="1"/>
    <brk id="302" max="15" man="1"/>
    <brk id="304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"/>
  <dimension ref="A1:CP462"/>
  <sheetViews>
    <sheetView topLeftCell="A230" zoomScale="70" zoomScaleNormal="70" zoomScaleSheetLayoutView="70" workbookViewId="0">
      <selection activeCell="B263" sqref="B263"/>
    </sheetView>
  </sheetViews>
  <sheetFormatPr defaultColWidth="7" defaultRowHeight="15" x14ac:dyDescent="0.25"/>
  <cols>
    <col min="1" max="1" width="8.6640625" style="88" bestFit="1" customWidth="1"/>
    <col min="2" max="2" width="51" style="44" customWidth="1"/>
    <col min="3" max="3" width="26.6640625" style="62" bestFit="1" customWidth="1"/>
    <col min="4" max="4" width="24.33203125" style="62" bestFit="1" customWidth="1"/>
    <col min="5" max="5" width="25.6640625" style="62" bestFit="1" customWidth="1"/>
    <col min="6" max="7" width="21.33203125" style="62" bestFit="1" customWidth="1"/>
    <col min="8" max="8" width="21.83203125" style="62" bestFit="1" customWidth="1"/>
    <col min="9" max="12" width="21.33203125" style="62" bestFit="1" customWidth="1"/>
    <col min="13" max="13" width="20.6640625" style="62" customWidth="1"/>
    <col min="14" max="14" width="21.1640625" style="62" bestFit="1" customWidth="1"/>
    <col min="15" max="15" width="21.33203125" style="62" bestFit="1" customWidth="1"/>
    <col min="16" max="16" width="22.83203125" style="44" customWidth="1"/>
    <col min="17" max="17" width="7" style="51"/>
    <col min="18" max="18" width="20.6640625" style="51" bestFit="1" customWidth="1"/>
    <col min="19" max="94" width="7" style="51"/>
    <col min="95" max="16384" width="7" style="44"/>
  </cols>
  <sheetData>
    <row r="1" spans="1:24" ht="15.6" x14ac:dyDescent="0.3">
      <c r="A1" s="986" t="str">
        <f>CONAME</f>
        <v>Columbia Gas of Kentucky, Inc.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</row>
    <row r="2" spans="1:24" ht="15.6" x14ac:dyDescent="0.3">
      <c r="A2" s="986" t="s">
        <v>197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</row>
    <row r="3" spans="1:24" ht="15.6" x14ac:dyDescent="0.3">
      <c r="A3" s="985" t="str">
        <f>TYDESC</f>
        <v>For the 12 Months Ended December 31, 2017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</row>
    <row r="4" spans="1:24" ht="15.6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24" ht="15.6" x14ac:dyDescent="0.3">
      <c r="A5" s="97" t="s">
        <v>342</v>
      </c>
      <c r="C5" s="75"/>
      <c r="D5" s="75"/>
      <c r="E5" s="75"/>
      <c r="F5" s="75"/>
      <c r="P5" s="89" t="s">
        <v>335</v>
      </c>
      <c r="R5" s="50"/>
      <c r="S5" s="50"/>
      <c r="T5" s="50"/>
      <c r="U5" s="50"/>
      <c r="V5" s="50"/>
      <c r="W5" s="50"/>
      <c r="X5" s="50"/>
    </row>
    <row r="6" spans="1:24" ht="15.6" x14ac:dyDescent="0.3">
      <c r="A6" s="97" t="s">
        <v>223</v>
      </c>
      <c r="C6" s="75"/>
      <c r="D6" s="75"/>
      <c r="E6" s="75"/>
      <c r="F6" s="75"/>
      <c r="P6" s="90" t="s">
        <v>364</v>
      </c>
    </row>
    <row r="7" spans="1:24" ht="15.6" x14ac:dyDescent="0.3">
      <c r="A7" s="98" t="s">
        <v>63</v>
      </c>
      <c r="C7" s="75"/>
      <c r="D7" s="75"/>
      <c r="E7" s="75"/>
      <c r="F7" s="75"/>
      <c r="P7" s="90"/>
    </row>
    <row r="8" spans="1:24" ht="15.6" x14ac:dyDescent="0.3">
      <c r="A8" s="99" t="s">
        <v>302</v>
      </c>
      <c r="B8" s="45"/>
      <c r="C8" s="75"/>
      <c r="D8" s="165"/>
      <c r="E8" s="75"/>
      <c r="F8" s="166"/>
      <c r="G8" s="167"/>
      <c r="H8" s="166"/>
      <c r="I8" s="168"/>
      <c r="J8" s="166"/>
      <c r="K8" s="166"/>
      <c r="L8" s="166"/>
      <c r="M8" s="166"/>
      <c r="N8" s="166"/>
      <c r="O8" s="166"/>
      <c r="P8" s="53"/>
      <c r="Q8" s="122"/>
      <c r="R8" s="122"/>
    </row>
    <row r="9" spans="1:24" ht="15.6" x14ac:dyDescent="0.3">
      <c r="A9" s="91"/>
      <c r="B9" s="45"/>
      <c r="C9" s="75"/>
      <c r="D9" s="165"/>
      <c r="E9" s="75"/>
      <c r="F9" s="166"/>
      <c r="G9" s="167"/>
      <c r="H9" s="166"/>
      <c r="I9" s="168"/>
      <c r="J9" s="166"/>
      <c r="K9" s="166"/>
      <c r="L9" s="166"/>
      <c r="M9" s="166"/>
      <c r="N9" s="166"/>
      <c r="O9" s="166"/>
      <c r="P9" s="53"/>
      <c r="Q9" s="122"/>
      <c r="R9" s="122"/>
    </row>
    <row r="10" spans="1:24" ht="15.6" x14ac:dyDescent="0.3">
      <c r="A10" s="45" t="s">
        <v>1</v>
      </c>
      <c r="B10" s="45"/>
      <c r="C10" s="75"/>
      <c r="D10" s="165"/>
      <c r="E10" s="75"/>
      <c r="F10" s="166"/>
      <c r="G10" s="167"/>
      <c r="H10" s="166"/>
      <c r="I10" s="168"/>
      <c r="J10" s="166"/>
      <c r="K10" s="166"/>
      <c r="L10" s="166"/>
      <c r="M10" s="166"/>
      <c r="N10" s="166"/>
      <c r="O10" s="166"/>
      <c r="P10" s="53"/>
      <c r="Q10" s="133"/>
      <c r="R10" s="133"/>
    </row>
    <row r="11" spans="1:24" ht="15.6" x14ac:dyDescent="0.3">
      <c r="A11" s="55" t="s">
        <v>3</v>
      </c>
      <c r="B11" s="55" t="s">
        <v>4</v>
      </c>
      <c r="C11" s="77" t="s">
        <v>186</v>
      </c>
      <c r="D11" s="159" t="str">
        <f>B!$D$11</f>
        <v>Jan-17</v>
      </c>
      <c r="E11" s="159" t="str">
        <f>B!$E$11</f>
        <v>Feb-17</v>
      </c>
      <c r="F11" s="159" t="str">
        <f>B!$F$11</f>
        <v>Mar-17</v>
      </c>
      <c r="G11" s="159" t="str">
        <f>B!$G$11</f>
        <v>Apr-17</v>
      </c>
      <c r="H11" s="159" t="str">
        <f>B!$H$11</f>
        <v>May-17</v>
      </c>
      <c r="I11" s="159" t="str">
        <f>B!$I$11</f>
        <v>Jun-17</v>
      </c>
      <c r="J11" s="159" t="str">
        <f>B!$J$11</f>
        <v>Jul-17</v>
      </c>
      <c r="K11" s="159" t="str">
        <f>B!$K$11</f>
        <v>Aug-17</v>
      </c>
      <c r="L11" s="159" t="str">
        <f>B!$L$11</f>
        <v>Sep-17</v>
      </c>
      <c r="M11" s="159" t="str">
        <f>B!$M$11</f>
        <v>Oct-17</v>
      </c>
      <c r="N11" s="159" t="str">
        <f>B!$N$11</f>
        <v>Nov-17</v>
      </c>
      <c r="O11" s="159" t="str">
        <f>B!$O$11</f>
        <v>Dec-17</v>
      </c>
      <c r="P11" s="56" t="s">
        <v>9</v>
      </c>
      <c r="S11" s="213"/>
    </row>
    <row r="12" spans="1:24" ht="15.6" x14ac:dyDescent="0.3">
      <c r="A12" s="45"/>
      <c r="B12" s="46" t="s">
        <v>42</v>
      </c>
      <c r="C12" s="78" t="s">
        <v>43</v>
      </c>
      <c r="D12" s="54" t="s">
        <v>45</v>
      </c>
      <c r="E12" s="54" t="s">
        <v>46</v>
      </c>
      <c r="F12" s="54" t="s">
        <v>49</v>
      </c>
      <c r="G12" s="54" t="s">
        <v>50</v>
      </c>
      <c r="H12" s="54" t="s">
        <v>51</v>
      </c>
      <c r="I12" s="54" t="s">
        <v>52</v>
      </c>
      <c r="J12" s="54" t="s">
        <v>53</v>
      </c>
      <c r="K12" s="58" t="s">
        <v>54</v>
      </c>
      <c r="L12" s="58" t="s">
        <v>55</v>
      </c>
      <c r="M12" s="58" t="s">
        <v>56</v>
      </c>
      <c r="N12" s="58" t="s">
        <v>57</v>
      </c>
      <c r="O12" s="58" t="s">
        <v>58</v>
      </c>
      <c r="P12" s="58" t="s">
        <v>59</v>
      </c>
      <c r="S12" s="133"/>
    </row>
    <row r="13" spans="1:24" ht="15.6" x14ac:dyDescent="0.3">
      <c r="A13" s="45"/>
      <c r="B13" s="46"/>
      <c r="C13" s="78"/>
      <c r="D13" s="169"/>
      <c r="E13" s="162"/>
      <c r="F13" s="162"/>
      <c r="G13" s="162"/>
      <c r="H13" s="162"/>
      <c r="I13" s="162"/>
      <c r="J13" s="162"/>
      <c r="K13" s="160"/>
      <c r="L13" s="160"/>
      <c r="M13" s="160"/>
      <c r="N13" s="160"/>
      <c r="O13" s="160"/>
      <c r="P13" s="58"/>
      <c r="Q13" s="134"/>
      <c r="R13" s="134"/>
      <c r="S13" s="133"/>
    </row>
    <row r="14" spans="1:24" ht="15.6" x14ac:dyDescent="0.3">
      <c r="A14" s="88">
        <v>1</v>
      </c>
      <c r="B14" s="47" t="s">
        <v>241</v>
      </c>
    </row>
    <row r="15" spans="1:24" x14ac:dyDescent="0.25">
      <c r="A15" s="88">
        <f>A14+1</f>
        <v>2</v>
      </c>
      <c r="B15" s="44" t="s">
        <v>360</v>
      </c>
      <c r="C15" s="74"/>
      <c r="D15" s="100">
        <v>1331907.1000000001</v>
      </c>
      <c r="E15" s="100">
        <v>1291151.8</v>
      </c>
      <c r="F15" s="100">
        <f>968393.7+9.3</f>
        <v>968403</v>
      </c>
      <c r="G15" s="100">
        <f>552547.1+6.3</f>
        <v>552553.4</v>
      </c>
      <c r="H15" s="100">
        <f>259774.2+2.2</f>
        <v>259776.40000000002</v>
      </c>
      <c r="I15" s="100">
        <v>123911.3</v>
      </c>
      <c r="J15" s="100">
        <v>88930</v>
      </c>
      <c r="K15" s="100">
        <v>85940.7</v>
      </c>
      <c r="L15" s="100">
        <v>88922.9</v>
      </c>
      <c r="M15" s="100">
        <v>141784.29999999999</v>
      </c>
      <c r="N15" s="100">
        <v>408542.4</v>
      </c>
      <c r="O15" s="100">
        <v>906257.2</v>
      </c>
      <c r="P15" s="65">
        <f>SUM(D15:O15)</f>
        <v>6248080.5000000009</v>
      </c>
    </row>
    <row r="16" spans="1:24" x14ac:dyDescent="0.25">
      <c r="A16" s="88">
        <f>A15+1</f>
        <v>3</v>
      </c>
      <c r="B16" s="44" t="s">
        <v>244</v>
      </c>
      <c r="C16" s="107" t="s">
        <v>363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68">
        <f>SUM(D16:O16)</f>
        <v>0</v>
      </c>
    </row>
    <row r="17" spans="1:16" ht="15.6" x14ac:dyDescent="0.3">
      <c r="A17" s="92">
        <f>A16+1</f>
        <v>4</v>
      </c>
      <c r="B17" s="51" t="s">
        <v>263</v>
      </c>
      <c r="C17" s="106"/>
      <c r="D17" s="103">
        <f t="shared" ref="D17:O17" si="0">SUM(D15:D16)</f>
        <v>1331907.1000000001</v>
      </c>
      <c r="E17" s="103">
        <f t="shared" si="0"/>
        <v>1291151.8</v>
      </c>
      <c r="F17" s="103">
        <f t="shared" si="0"/>
        <v>968403</v>
      </c>
      <c r="G17" s="103">
        <f t="shared" si="0"/>
        <v>552553.4</v>
      </c>
      <c r="H17" s="103">
        <f t="shared" si="0"/>
        <v>259776.40000000002</v>
      </c>
      <c r="I17" s="103">
        <f t="shared" si="0"/>
        <v>123911.3</v>
      </c>
      <c r="J17" s="103">
        <f t="shared" si="0"/>
        <v>88930</v>
      </c>
      <c r="K17" s="103">
        <f t="shared" si="0"/>
        <v>85940.7</v>
      </c>
      <c r="L17" s="103">
        <f t="shared" si="0"/>
        <v>88922.9</v>
      </c>
      <c r="M17" s="103">
        <f t="shared" si="0"/>
        <v>141784.29999999999</v>
      </c>
      <c r="N17" s="103">
        <f t="shared" si="0"/>
        <v>408542.4</v>
      </c>
      <c r="O17" s="103">
        <f t="shared" si="0"/>
        <v>906257.2</v>
      </c>
      <c r="P17" s="104">
        <f>SUM(D17:O17)</f>
        <v>6248080.5000000009</v>
      </c>
    </row>
    <row r="18" spans="1:16" ht="15.6" x14ac:dyDescent="0.3">
      <c r="A18" s="92"/>
      <c r="B18" s="50"/>
      <c r="C18" s="106"/>
      <c r="D18" s="94"/>
      <c r="E18" s="94"/>
      <c r="F18" s="102"/>
      <c r="G18" s="94"/>
      <c r="H18" s="131"/>
      <c r="I18" s="102"/>
      <c r="J18" s="102"/>
      <c r="K18" s="94"/>
      <c r="L18" s="94"/>
      <c r="M18" s="94"/>
      <c r="N18" s="94"/>
      <c r="O18" s="94"/>
      <c r="P18" s="51"/>
    </row>
    <row r="19" spans="1:16" ht="15.6" x14ac:dyDescent="0.3">
      <c r="A19" s="92">
        <f>A17+1</f>
        <v>5</v>
      </c>
      <c r="B19" s="50" t="s">
        <v>242</v>
      </c>
      <c r="C19" s="131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51"/>
    </row>
    <row r="20" spans="1:16" x14ac:dyDescent="0.25">
      <c r="A20" s="92">
        <f>A19+1</f>
        <v>6</v>
      </c>
      <c r="B20" s="51" t="s">
        <v>360</v>
      </c>
      <c r="C20" s="131"/>
      <c r="D20" s="306">
        <v>307.2</v>
      </c>
      <c r="E20" s="306">
        <v>374.8</v>
      </c>
      <c r="F20" s="306">
        <v>373.1</v>
      </c>
      <c r="G20" s="306">
        <v>173.3</v>
      </c>
      <c r="H20" s="306">
        <v>68.900000000000006</v>
      </c>
      <c r="I20" s="323">
        <v>18</v>
      </c>
      <c r="J20" s="323">
        <v>29.1</v>
      </c>
      <c r="K20" s="323">
        <v>16.7</v>
      </c>
      <c r="L20" s="306">
        <v>8.8000000000000007</v>
      </c>
      <c r="M20" s="306">
        <v>22.2</v>
      </c>
      <c r="N20" s="306">
        <v>83.3</v>
      </c>
      <c r="O20" s="306">
        <v>222.4</v>
      </c>
      <c r="P20" s="104">
        <f>SUM(D20:O20)</f>
        <v>1697.8</v>
      </c>
    </row>
    <row r="21" spans="1:16" x14ac:dyDescent="0.25">
      <c r="A21" s="92">
        <f>A20+1</f>
        <v>7</v>
      </c>
      <c r="B21" s="51" t="s">
        <v>244</v>
      </c>
      <c r="C21" s="141" t="s">
        <v>363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68">
        <f>SUM(D21:O21)</f>
        <v>0</v>
      </c>
    </row>
    <row r="22" spans="1:16" ht="15.6" x14ac:dyDescent="0.3">
      <c r="A22" s="92">
        <f>A21+1</f>
        <v>8</v>
      </c>
      <c r="B22" s="51" t="s">
        <v>263</v>
      </c>
      <c r="C22" s="106"/>
      <c r="D22" s="103">
        <f t="shared" ref="D22:O22" si="1">SUM(D20:D21)</f>
        <v>307.2</v>
      </c>
      <c r="E22" s="103">
        <f t="shared" si="1"/>
        <v>374.8</v>
      </c>
      <c r="F22" s="103">
        <f t="shared" si="1"/>
        <v>373.1</v>
      </c>
      <c r="G22" s="103">
        <f t="shared" si="1"/>
        <v>173.3</v>
      </c>
      <c r="H22" s="103">
        <f t="shared" si="1"/>
        <v>68.900000000000006</v>
      </c>
      <c r="I22" s="103">
        <f t="shared" si="1"/>
        <v>18</v>
      </c>
      <c r="J22" s="103">
        <f t="shared" si="1"/>
        <v>29.1</v>
      </c>
      <c r="K22" s="103">
        <f t="shared" si="1"/>
        <v>16.7</v>
      </c>
      <c r="L22" s="103">
        <f t="shared" si="1"/>
        <v>8.8000000000000007</v>
      </c>
      <c r="M22" s="103">
        <f t="shared" si="1"/>
        <v>22.2</v>
      </c>
      <c r="N22" s="103">
        <f t="shared" si="1"/>
        <v>83.3</v>
      </c>
      <c r="O22" s="103">
        <f t="shared" si="1"/>
        <v>222.4</v>
      </c>
      <c r="P22" s="104">
        <f>SUM(D22:O22)</f>
        <v>1697.8</v>
      </c>
    </row>
    <row r="23" spans="1:16" ht="15.6" x14ac:dyDescent="0.3">
      <c r="A23" s="122"/>
      <c r="B23" s="50"/>
      <c r="C23" s="106"/>
      <c r="D23" s="94"/>
      <c r="E23" s="94"/>
      <c r="F23" s="102"/>
      <c r="G23" s="94"/>
      <c r="H23" s="131"/>
      <c r="I23" s="102"/>
      <c r="J23" s="102"/>
      <c r="K23" s="94"/>
      <c r="L23" s="94"/>
      <c r="M23" s="94"/>
      <c r="N23" s="94"/>
      <c r="O23" s="94"/>
      <c r="P23" s="51"/>
    </row>
    <row r="24" spans="1:16" ht="15.6" x14ac:dyDescent="0.3">
      <c r="A24" s="92">
        <f>A22+1</f>
        <v>9</v>
      </c>
      <c r="B24" s="50" t="s">
        <v>243</v>
      </c>
      <c r="C24" s="131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51"/>
    </row>
    <row r="25" spans="1:16" x14ac:dyDescent="0.25">
      <c r="A25" s="92">
        <f>A24+1</f>
        <v>10</v>
      </c>
      <c r="B25" s="51" t="s">
        <v>360</v>
      </c>
      <c r="C25" s="131"/>
      <c r="D25" s="306">
        <v>458.3</v>
      </c>
      <c r="E25" s="306">
        <v>345.9</v>
      </c>
      <c r="F25" s="306">
        <v>279.39999999999998</v>
      </c>
      <c r="G25" s="306">
        <v>174.8</v>
      </c>
      <c r="H25" s="306">
        <v>81.099999999999994</v>
      </c>
      <c r="I25" s="323">
        <v>33.4</v>
      </c>
      <c r="J25" s="323">
        <v>24.1</v>
      </c>
      <c r="K25" s="323">
        <v>27.6</v>
      </c>
      <c r="L25" s="306">
        <v>28.4</v>
      </c>
      <c r="M25" s="306">
        <v>68</v>
      </c>
      <c r="N25" s="306">
        <v>159.19999999999999</v>
      </c>
      <c r="O25" s="306">
        <v>338.7</v>
      </c>
      <c r="P25" s="104">
        <f>SUM(D25:O25)</f>
        <v>2018.8999999999999</v>
      </c>
    </row>
    <row r="26" spans="1:16" x14ac:dyDescent="0.25">
      <c r="A26" s="92">
        <f>A25+1</f>
        <v>11</v>
      </c>
      <c r="B26" s="51" t="s">
        <v>244</v>
      </c>
      <c r="C26" s="141" t="s">
        <v>363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68">
        <f>SUM(D26:O26)</f>
        <v>0</v>
      </c>
    </row>
    <row r="27" spans="1:16" ht="15.6" x14ac:dyDescent="0.3">
      <c r="A27" s="92">
        <f>A26+1</f>
        <v>12</v>
      </c>
      <c r="B27" s="51" t="s">
        <v>263</v>
      </c>
      <c r="C27" s="106"/>
      <c r="D27" s="103">
        <f t="shared" ref="D27:O27" si="2">SUM(D25:D26)</f>
        <v>458.3</v>
      </c>
      <c r="E27" s="103">
        <f t="shared" si="2"/>
        <v>345.9</v>
      </c>
      <c r="F27" s="103">
        <f t="shared" si="2"/>
        <v>279.39999999999998</v>
      </c>
      <c r="G27" s="103">
        <f t="shared" si="2"/>
        <v>174.8</v>
      </c>
      <c r="H27" s="103">
        <f t="shared" si="2"/>
        <v>81.099999999999994</v>
      </c>
      <c r="I27" s="103">
        <f t="shared" si="2"/>
        <v>33.4</v>
      </c>
      <c r="J27" s="103">
        <f t="shared" si="2"/>
        <v>24.1</v>
      </c>
      <c r="K27" s="103">
        <f t="shared" si="2"/>
        <v>27.6</v>
      </c>
      <c r="L27" s="103">
        <f t="shared" si="2"/>
        <v>28.4</v>
      </c>
      <c r="M27" s="103">
        <f t="shared" si="2"/>
        <v>68</v>
      </c>
      <c r="N27" s="103">
        <f t="shared" si="2"/>
        <v>159.19999999999999</v>
      </c>
      <c r="O27" s="103">
        <f t="shared" si="2"/>
        <v>338.7</v>
      </c>
      <c r="P27" s="104">
        <f>SUM(D27:O27)</f>
        <v>2018.8999999999999</v>
      </c>
    </row>
    <row r="28" spans="1:16" ht="15.6" x14ac:dyDescent="0.3">
      <c r="A28" s="122"/>
      <c r="B28" s="50"/>
      <c r="C28" s="106"/>
      <c r="D28" s="94"/>
      <c r="E28" s="94"/>
      <c r="F28" s="102"/>
      <c r="G28" s="94"/>
      <c r="H28" s="131"/>
      <c r="I28" s="102"/>
      <c r="J28" s="102"/>
      <c r="K28" s="94"/>
      <c r="L28" s="94"/>
      <c r="M28" s="94"/>
      <c r="N28" s="94"/>
      <c r="O28" s="94"/>
      <c r="P28" s="51"/>
    </row>
    <row r="29" spans="1:16" ht="15.6" x14ac:dyDescent="0.3">
      <c r="A29" s="92">
        <f>A27+1</f>
        <v>13</v>
      </c>
      <c r="B29" s="50" t="s">
        <v>245</v>
      </c>
      <c r="C29" s="131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51"/>
    </row>
    <row r="30" spans="1:16" x14ac:dyDescent="0.25">
      <c r="A30" s="92">
        <f>A29+1</f>
        <v>14</v>
      </c>
      <c r="B30" s="51" t="s">
        <v>360</v>
      </c>
      <c r="C30" s="131"/>
      <c r="D30" s="306">
        <v>247.9</v>
      </c>
      <c r="E30" s="306">
        <v>172.9</v>
      </c>
      <c r="F30" s="306">
        <v>116.2</v>
      </c>
      <c r="G30" s="306">
        <v>84.5</v>
      </c>
      <c r="H30" s="306">
        <v>36.299999999999997</v>
      </c>
      <c r="I30" s="323">
        <v>17</v>
      </c>
      <c r="J30" s="323">
        <v>11.6</v>
      </c>
      <c r="K30" s="323">
        <v>10.8</v>
      </c>
      <c r="L30" s="306">
        <v>11.5</v>
      </c>
      <c r="M30" s="306">
        <v>34</v>
      </c>
      <c r="N30" s="306">
        <v>90.2</v>
      </c>
      <c r="O30" s="306">
        <v>157.30000000000001</v>
      </c>
      <c r="P30" s="104">
        <f>SUM(D30:O30)</f>
        <v>990.2</v>
      </c>
    </row>
    <row r="31" spans="1:16" x14ac:dyDescent="0.25">
      <c r="A31" s="92">
        <f>A30+1</f>
        <v>15</v>
      </c>
      <c r="B31" s="51" t="s">
        <v>244</v>
      </c>
      <c r="C31" s="141" t="s">
        <v>363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68">
        <f>SUM(D31:O31)</f>
        <v>0</v>
      </c>
    </row>
    <row r="32" spans="1:16" ht="15.6" x14ac:dyDescent="0.3">
      <c r="A32" s="92">
        <f>A31+1</f>
        <v>16</v>
      </c>
      <c r="B32" s="51" t="s">
        <v>263</v>
      </c>
      <c r="C32" s="106"/>
      <c r="D32" s="103">
        <f t="shared" ref="D32:O32" si="3">SUM(D30:D31)</f>
        <v>247.9</v>
      </c>
      <c r="E32" s="103">
        <f t="shared" si="3"/>
        <v>172.9</v>
      </c>
      <c r="F32" s="103">
        <f t="shared" si="3"/>
        <v>116.2</v>
      </c>
      <c r="G32" s="103">
        <f t="shared" si="3"/>
        <v>84.5</v>
      </c>
      <c r="H32" s="103">
        <f t="shared" si="3"/>
        <v>36.299999999999997</v>
      </c>
      <c r="I32" s="103">
        <f t="shared" si="3"/>
        <v>17</v>
      </c>
      <c r="J32" s="103">
        <f t="shared" si="3"/>
        <v>11.6</v>
      </c>
      <c r="K32" s="103">
        <f t="shared" si="3"/>
        <v>10.8</v>
      </c>
      <c r="L32" s="103">
        <f t="shared" si="3"/>
        <v>11.5</v>
      </c>
      <c r="M32" s="103">
        <f t="shared" si="3"/>
        <v>34</v>
      </c>
      <c r="N32" s="103">
        <f t="shared" si="3"/>
        <v>90.2</v>
      </c>
      <c r="O32" s="103">
        <f t="shared" si="3"/>
        <v>157.30000000000001</v>
      </c>
      <c r="P32" s="104">
        <f>SUM(D32:O32)</f>
        <v>990.2</v>
      </c>
    </row>
    <row r="33" spans="1:19" ht="15.6" x14ac:dyDescent="0.3">
      <c r="A33" s="92"/>
      <c r="B33" s="51"/>
      <c r="C33" s="106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4"/>
    </row>
    <row r="34" spans="1:19" ht="15.6" x14ac:dyDescent="0.3">
      <c r="A34" s="92">
        <f>A32+1</f>
        <v>17</v>
      </c>
      <c r="B34" s="50" t="s">
        <v>246</v>
      </c>
      <c r="C34" s="131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51"/>
    </row>
    <row r="35" spans="1:19" x14ac:dyDescent="0.25">
      <c r="A35" s="92">
        <f>A34+1</f>
        <v>18</v>
      </c>
      <c r="B35" s="51" t="s">
        <v>360</v>
      </c>
      <c r="C35" s="131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61">
        <f>SUM(D35:O35)</f>
        <v>0</v>
      </c>
    </row>
    <row r="36" spans="1:19" x14ac:dyDescent="0.25">
      <c r="A36" s="92">
        <f>A35+1</f>
        <v>19</v>
      </c>
      <c r="B36" s="51" t="s">
        <v>244</v>
      </c>
      <c r="C36" s="141" t="s">
        <v>363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68">
        <f>SUM(D36:O36)</f>
        <v>0</v>
      </c>
    </row>
    <row r="37" spans="1:19" ht="15.6" x14ac:dyDescent="0.3">
      <c r="A37" s="92">
        <f>A36+1</f>
        <v>20</v>
      </c>
      <c r="B37" s="51" t="s">
        <v>263</v>
      </c>
      <c r="C37" s="106"/>
      <c r="D37" s="61">
        <f t="shared" ref="D37:O37" si="4">SUM(D35:D36)</f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  <c r="H37" s="61">
        <f t="shared" si="4"/>
        <v>0</v>
      </c>
      <c r="I37" s="61">
        <f t="shared" si="4"/>
        <v>0</v>
      </c>
      <c r="J37" s="61">
        <f t="shared" si="4"/>
        <v>0</v>
      </c>
      <c r="K37" s="61">
        <f t="shared" si="4"/>
        <v>0</v>
      </c>
      <c r="L37" s="61">
        <f t="shared" si="4"/>
        <v>0</v>
      </c>
      <c r="M37" s="61">
        <f t="shared" si="4"/>
        <v>0</v>
      </c>
      <c r="N37" s="61">
        <f t="shared" si="4"/>
        <v>0</v>
      </c>
      <c r="O37" s="61">
        <f t="shared" si="4"/>
        <v>0</v>
      </c>
      <c r="P37" s="61">
        <f>SUM(D37:O37)</f>
        <v>0</v>
      </c>
    </row>
    <row r="38" spans="1:19" ht="15.6" x14ac:dyDescent="0.3">
      <c r="A38" s="92"/>
      <c r="B38" s="51"/>
      <c r="C38" s="106"/>
      <c r="D38" s="103"/>
      <c r="E38" s="103"/>
      <c r="F38" s="103"/>
      <c r="G38" s="70"/>
      <c r="H38" s="70"/>
      <c r="I38" s="70"/>
      <c r="J38" s="70"/>
      <c r="K38" s="70"/>
      <c r="L38" s="70"/>
      <c r="M38" s="103"/>
      <c r="N38" s="103"/>
      <c r="O38" s="103"/>
      <c r="P38" s="104"/>
    </row>
    <row r="39" spans="1:19" ht="15.6" x14ac:dyDescent="0.3">
      <c r="A39" s="92">
        <f>A37+1</f>
        <v>21</v>
      </c>
      <c r="B39" s="50" t="s">
        <v>247</v>
      </c>
      <c r="C39" s="131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51"/>
    </row>
    <row r="40" spans="1:19" x14ac:dyDescent="0.25">
      <c r="A40" s="92">
        <f>A39+1</f>
        <v>22</v>
      </c>
      <c r="B40" s="51" t="s">
        <v>360</v>
      </c>
      <c r="C40" s="131"/>
      <c r="D40" s="306">
        <v>84.3</v>
      </c>
      <c r="E40" s="306">
        <v>54.6</v>
      </c>
      <c r="F40" s="306">
        <v>43.5</v>
      </c>
      <c r="G40" s="323">
        <v>25.4</v>
      </c>
      <c r="H40" s="323">
        <v>12.3</v>
      </c>
      <c r="I40" s="323">
        <v>4.9000000000000004</v>
      </c>
      <c r="J40" s="323">
        <v>2.4</v>
      </c>
      <c r="K40" s="323">
        <v>2.9</v>
      </c>
      <c r="L40" s="323">
        <v>4.3</v>
      </c>
      <c r="M40" s="306">
        <v>14.9</v>
      </c>
      <c r="N40" s="306">
        <v>32.1</v>
      </c>
      <c r="O40" s="306">
        <v>52</v>
      </c>
      <c r="P40" s="104">
        <f>SUM(D40:O40)</f>
        <v>333.60000000000008</v>
      </c>
    </row>
    <row r="41" spans="1:19" x14ac:dyDescent="0.25">
      <c r="A41" s="92">
        <f>A40+1</f>
        <v>23</v>
      </c>
      <c r="B41" s="51" t="s">
        <v>244</v>
      </c>
      <c r="C41" s="141" t="s">
        <v>363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68">
        <f>SUM(D41:O41)</f>
        <v>0</v>
      </c>
    </row>
    <row r="42" spans="1:19" ht="15.6" x14ac:dyDescent="0.3">
      <c r="A42" s="92">
        <f>A41+1</f>
        <v>24</v>
      </c>
      <c r="B42" s="51" t="s">
        <v>263</v>
      </c>
      <c r="C42" s="106"/>
      <c r="D42" s="103">
        <f t="shared" ref="D42:O42" si="5">SUM(D40:D41)</f>
        <v>84.3</v>
      </c>
      <c r="E42" s="103">
        <f t="shared" si="5"/>
        <v>54.6</v>
      </c>
      <c r="F42" s="103">
        <f t="shared" si="5"/>
        <v>43.5</v>
      </c>
      <c r="G42" s="70">
        <f t="shared" si="5"/>
        <v>25.4</v>
      </c>
      <c r="H42" s="70">
        <f t="shared" si="5"/>
        <v>12.3</v>
      </c>
      <c r="I42" s="70">
        <f t="shared" si="5"/>
        <v>4.9000000000000004</v>
      </c>
      <c r="J42" s="70">
        <f t="shared" si="5"/>
        <v>2.4</v>
      </c>
      <c r="K42" s="70">
        <f t="shared" si="5"/>
        <v>2.9</v>
      </c>
      <c r="L42" s="70">
        <f t="shared" si="5"/>
        <v>4.3</v>
      </c>
      <c r="M42" s="103">
        <f t="shared" si="5"/>
        <v>14.9</v>
      </c>
      <c r="N42" s="103">
        <f t="shared" si="5"/>
        <v>32.1</v>
      </c>
      <c r="O42" s="103">
        <f t="shared" si="5"/>
        <v>52</v>
      </c>
      <c r="P42" s="104">
        <f>SUM(D42:O42)</f>
        <v>333.60000000000008</v>
      </c>
    </row>
    <row r="43" spans="1:19" ht="15.6" x14ac:dyDescent="0.3">
      <c r="A43" s="122"/>
      <c r="B43" s="133"/>
      <c r="C43" s="129"/>
      <c r="D43" s="170"/>
      <c r="E43" s="170"/>
      <c r="F43" s="170"/>
      <c r="G43" s="170"/>
      <c r="H43" s="170"/>
      <c r="I43" s="170"/>
      <c r="J43" s="171"/>
      <c r="K43" s="171"/>
      <c r="L43" s="171"/>
      <c r="M43" s="171"/>
      <c r="N43" s="171"/>
      <c r="O43" s="171"/>
      <c r="P43" s="134"/>
      <c r="S43" s="133"/>
    </row>
    <row r="44" spans="1:19" ht="15.6" x14ac:dyDescent="0.3">
      <c r="A44" s="92">
        <f>A42+1</f>
        <v>25</v>
      </c>
      <c r="B44" s="50" t="s">
        <v>248</v>
      </c>
      <c r="C44" s="131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51"/>
    </row>
    <row r="45" spans="1:19" x14ac:dyDescent="0.25">
      <c r="A45" s="92">
        <f>A44+1</f>
        <v>26</v>
      </c>
      <c r="B45" s="51" t="s">
        <v>360</v>
      </c>
      <c r="C45" s="131"/>
      <c r="D45" s="306">
        <v>161.1</v>
      </c>
      <c r="E45" s="306">
        <v>142.80000000000001</v>
      </c>
      <c r="F45" s="306">
        <v>70.5</v>
      </c>
      <c r="G45" s="323">
        <v>36.6</v>
      </c>
      <c r="H45" s="323">
        <v>15.2</v>
      </c>
      <c r="I45" s="323">
        <v>2.9</v>
      </c>
      <c r="J45" s="323">
        <v>3.2</v>
      </c>
      <c r="K45" s="323">
        <v>3.4</v>
      </c>
      <c r="L45" s="323">
        <v>3.8</v>
      </c>
      <c r="M45" s="306">
        <v>19</v>
      </c>
      <c r="N45" s="306">
        <v>51.7</v>
      </c>
      <c r="O45" s="306">
        <v>95</v>
      </c>
      <c r="P45" s="104">
        <f>SUM(D45:O45)</f>
        <v>605.19999999999993</v>
      </c>
    </row>
    <row r="46" spans="1:19" x14ac:dyDescent="0.25">
      <c r="A46" s="92">
        <f>A45+1</f>
        <v>27</v>
      </c>
      <c r="B46" s="51" t="s">
        <v>244</v>
      </c>
      <c r="C46" s="141" t="s">
        <v>363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68">
        <f>SUM(D46:O46)</f>
        <v>0</v>
      </c>
    </row>
    <row r="47" spans="1:19" ht="15.6" x14ac:dyDescent="0.3">
      <c r="A47" s="92">
        <f>A46+1</f>
        <v>28</v>
      </c>
      <c r="B47" s="51" t="s">
        <v>263</v>
      </c>
      <c r="C47" s="106"/>
      <c r="D47" s="103">
        <f t="shared" ref="D47:O47" si="6">SUM(D45:D46)</f>
        <v>161.1</v>
      </c>
      <c r="E47" s="103">
        <f t="shared" si="6"/>
        <v>142.80000000000001</v>
      </c>
      <c r="F47" s="103">
        <f t="shared" si="6"/>
        <v>70.5</v>
      </c>
      <c r="G47" s="70">
        <f t="shared" si="6"/>
        <v>36.6</v>
      </c>
      <c r="H47" s="70">
        <f t="shared" si="6"/>
        <v>15.2</v>
      </c>
      <c r="I47" s="70">
        <f t="shared" si="6"/>
        <v>2.9</v>
      </c>
      <c r="J47" s="70">
        <f t="shared" si="6"/>
        <v>3.2</v>
      </c>
      <c r="K47" s="70">
        <f t="shared" si="6"/>
        <v>3.4</v>
      </c>
      <c r="L47" s="70">
        <f t="shared" si="6"/>
        <v>3.8</v>
      </c>
      <c r="M47" s="103">
        <f t="shared" si="6"/>
        <v>19</v>
      </c>
      <c r="N47" s="103">
        <f t="shared" si="6"/>
        <v>51.7</v>
      </c>
      <c r="O47" s="103">
        <f t="shared" si="6"/>
        <v>95</v>
      </c>
      <c r="P47" s="104">
        <f>SUM(D47:O47)</f>
        <v>605.19999999999993</v>
      </c>
    </row>
    <row r="48" spans="1:19" ht="15.6" x14ac:dyDescent="0.3">
      <c r="A48" s="92"/>
      <c r="B48" s="51"/>
      <c r="C48" s="106"/>
      <c r="D48" s="103"/>
      <c r="E48" s="103"/>
      <c r="F48" s="103"/>
      <c r="G48" s="70"/>
      <c r="H48" s="70"/>
      <c r="I48" s="70"/>
      <c r="J48" s="70"/>
      <c r="K48" s="70"/>
      <c r="L48" s="70"/>
      <c r="M48" s="103"/>
      <c r="N48" s="103"/>
      <c r="O48" s="103"/>
      <c r="P48" s="104"/>
    </row>
    <row r="49" spans="1:19" ht="15.6" x14ac:dyDescent="0.3">
      <c r="A49" s="92">
        <f>A47+1</f>
        <v>29</v>
      </c>
      <c r="B49" s="50" t="s">
        <v>249</v>
      </c>
      <c r="C49" s="131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51"/>
    </row>
    <row r="50" spans="1:19" x14ac:dyDescent="0.25">
      <c r="A50" s="92">
        <f>A49+1</f>
        <v>30</v>
      </c>
      <c r="B50" s="51" t="s">
        <v>360</v>
      </c>
      <c r="C50" s="131"/>
      <c r="D50" s="71">
        <v>191.8</v>
      </c>
      <c r="E50" s="71">
        <v>167.7</v>
      </c>
      <c r="F50" s="71">
        <v>88.3</v>
      </c>
      <c r="G50" s="71">
        <v>54</v>
      </c>
      <c r="H50" s="71">
        <v>20.2</v>
      </c>
      <c r="I50" s="71">
        <v>7.6</v>
      </c>
      <c r="J50" s="71">
        <v>7.9</v>
      </c>
      <c r="K50" s="71">
        <v>6.8</v>
      </c>
      <c r="L50" s="71">
        <v>6.6</v>
      </c>
      <c r="M50" s="71">
        <v>14.8</v>
      </c>
      <c r="N50" s="71">
        <v>41.5</v>
      </c>
      <c r="O50" s="71">
        <v>103.7</v>
      </c>
      <c r="P50" s="61">
        <f>SUM(D50:O50)</f>
        <v>710.9</v>
      </c>
    </row>
    <row r="51" spans="1:19" x14ac:dyDescent="0.25">
      <c r="A51" s="92">
        <f>A50+1</f>
        <v>31</v>
      </c>
      <c r="B51" s="51" t="s">
        <v>244</v>
      </c>
      <c r="C51" s="141" t="s">
        <v>363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68">
        <f>SUM(D51:O51)</f>
        <v>0</v>
      </c>
    </row>
    <row r="52" spans="1:19" ht="15.6" x14ac:dyDescent="0.3">
      <c r="A52" s="92">
        <f>A51+1</f>
        <v>32</v>
      </c>
      <c r="B52" s="51" t="s">
        <v>263</v>
      </c>
      <c r="C52" s="106"/>
      <c r="D52" s="61">
        <f t="shared" ref="D52:O52" si="7">SUM(D50:D51)</f>
        <v>191.8</v>
      </c>
      <c r="E52" s="61">
        <f t="shared" si="7"/>
        <v>167.7</v>
      </c>
      <c r="F52" s="61">
        <f t="shared" si="7"/>
        <v>88.3</v>
      </c>
      <c r="G52" s="61">
        <f t="shared" si="7"/>
        <v>54</v>
      </c>
      <c r="H52" s="61">
        <f t="shared" si="7"/>
        <v>20.2</v>
      </c>
      <c r="I52" s="61">
        <f t="shared" si="7"/>
        <v>7.6</v>
      </c>
      <c r="J52" s="61">
        <f t="shared" si="7"/>
        <v>7.9</v>
      </c>
      <c r="K52" s="61">
        <f t="shared" si="7"/>
        <v>6.8</v>
      </c>
      <c r="L52" s="61">
        <f t="shared" si="7"/>
        <v>6.6</v>
      </c>
      <c r="M52" s="61">
        <f t="shared" si="7"/>
        <v>14.8</v>
      </c>
      <c r="N52" s="61">
        <f t="shared" si="7"/>
        <v>41.5</v>
      </c>
      <c r="O52" s="61">
        <f t="shared" si="7"/>
        <v>103.7</v>
      </c>
      <c r="P52" s="61">
        <f>SUM(D52:O52)</f>
        <v>710.9</v>
      </c>
    </row>
    <row r="53" spans="1:19" ht="15.6" x14ac:dyDescent="0.3">
      <c r="A53" s="92"/>
      <c r="B53" s="51"/>
      <c r="C53" s="106"/>
      <c r="D53" s="103"/>
      <c r="E53" s="103"/>
      <c r="F53" s="103"/>
      <c r="G53" s="70"/>
      <c r="H53" s="70"/>
      <c r="I53" s="70"/>
      <c r="J53" s="70"/>
      <c r="K53" s="70"/>
      <c r="L53" s="70"/>
      <c r="M53" s="103"/>
      <c r="N53" s="103"/>
      <c r="O53" s="103"/>
      <c r="P53" s="104"/>
    </row>
    <row r="54" spans="1:19" ht="15.75" customHeight="1" x14ac:dyDescent="0.3">
      <c r="A54" s="984" t="str">
        <f>CONAME</f>
        <v>Columbia Gas of Kentucky, Inc.</v>
      </c>
      <c r="B54" s="984"/>
      <c r="C54" s="984"/>
      <c r="D54" s="984"/>
      <c r="E54" s="984"/>
      <c r="F54" s="984"/>
      <c r="G54" s="984"/>
      <c r="H54" s="984"/>
      <c r="I54" s="984"/>
      <c r="J54" s="984"/>
      <c r="K54" s="984"/>
      <c r="L54" s="984"/>
      <c r="M54" s="984"/>
      <c r="N54" s="984"/>
      <c r="O54" s="984"/>
      <c r="P54" s="984"/>
    </row>
    <row r="55" spans="1:19" ht="15.75" customHeight="1" x14ac:dyDescent="0.3">
      <c r="A55" s="984" t="s">
        <v>197</v>
      </c>
      <c r="B55" s="984"/>
      <c r="C55" s="984"/>
      <c r="D55" s="984"/>
      <c r="E55" s="984"/>
      <c r="F55" s="984"/>
      <c r="G55" s="984"/>
      <c r="H55" s="984"/>
      <c r="I55" s="984"/>
      <c r="J55" s="984"/>
      <c r="K55" s="984"/>
      <c r="L55" s="984"/>
      <c r="M55" s="984"/>
      <c r="N55" s="984"/>
      <c r="O55" s="984"/>
      <c r="P55" s="984"/>
    </row>
    <row r="56" spans="1:19" ht="15.75" customHeight="1" x14ac:dyDescent="0.3">
      <c r="A56" s="983" t="str">
        <f>TYDESC</f>
        <v>For the 12 Months Ended December 31, 2017</v>
      </c>
      <c r="B56" s="983"/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3"/>
      <c r="N56" s="983"/>
      <c r="O56" s="983"/>
      <c r="P56" s="983"/>
    </row>
    <row r="57" spans="1:19" ht="15.6" x14ac:dyDescent="0.3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1:19" ht="15.6" x14ac:dyDescent="0.3">
      <c r="A58" s="98" t="str">
        <f>$A$5</f>
        <v>Data: __ Base Period_X_Forecasted Period</v>
      </c>
      <c r="B58" s="51"/>
      <c r="C58" s="106"/>
      <c r="D58" s="106"/>
      <c r="E58" s="106"/>
      <c r="F58" s="106"/>
      <c r="G58" s="94"/>
      <c r="H58" s="94"/>
      <c r="I58" s="94"/>
      <c r="J58" s="94"/>
      <c r="K58" s="94"/>
      <c r="L58" s="94"/>
      <c r="M58" s="94"/>
      <c r="N58" s="94"/>
      <c r="O58" s="94"/>
      <c r="P58" s="324" t="str">
        <f>$P$5</f>
        <v>Workpaper WPM-C.2</v>
      </c>
    </row>
    <row r="59" spans="1:19" ht="15.6" x14ac:dyDescent="0.3">
      <c r="A59" s="98" t="str">
        <f>$A$6</f>
        <v>Type of Filing: X Original _ Update _ Revised</v>
      </c>
      <c r="B59" s="51"/>
      <c r="C59" s="106"/>
      <c r="D59" s="106"/>
      <c r="E59" s="106"/>
      <c r="F59" s="106"/>
      <c r="G59" s="94"/>
      <c r="H59" s="94"/>
      <c r="I59" s="94"/>
      <c r="J59" s="94"/>
      <c r="K59" s="94"/>
      <c r="L59" s="94"/>
      <c r="M59" s="94"/>
      <c r="N59" s="94"/>
      <c r="O59" s="94"/>
      <c r="P59" s="325" t="s">
        <v>365</v>
      </c>
    </row>
    <row r="60" spans="1:19" ht="15.6" x14ac:dyDescent="0.3">
      <c r="A60" s="98" t="str">
        <f>$A$7</f>
        <v>Work Paper Reference No(s):</v>
      </c>
      <c r="B60" s="51"/>
      <c r="C60" s="106"/>
      <c r="D60" s="106"/>
      <c r="E60" s="106"/>
      <c r="F60" s="106"/>
      <c r="G60" s="94"/>
      <c r="H60" s="94"/>
      <c r="I60" s="94"/>
      <c r="J60" s="94"/>
      <c r="K60" s="94"/>
      <c r="L60" s="94"/>
      <c r="M60" s="94"/>
      <c r="N60" s="94"/>
      <c r="O60" s="94"/>
      <c r="P60" s="325"/>
    </row>
    <row r="61" spans="1:19" ht="15.6" x14ac:dyDescent="0.3">
      <c r="A61" s="130" t="str">
        <f>$A$8</f>
        <v>12 Months Forecasted</v>
      </c>
      <c r="B61" s="122"/>
      <c r="C61" s="106"/>
      <c r="D61" s="326"/>
      <c r="E61" s="106"/>
      <c r="F61" s="327"/>
      <c r="G61" s="328"/>
      <c r="H61" s="327"/>
      <c r="I61" s="329"/>
      <c r="J61" s="327"/>
      <c r="K61" s="327"/>
      <c r="L61" s="327"/>
      <c r="M61" s="327"/>
      <c r="N61" s="327"/>
      <c r="O61" s="327"/>
      <c r="P61" s="308"/>
      <c r="Q61" s="122"/>
      <c r="R61" s="122"/>
    </row>
    <row r="62" spans="1:19" ht="15.6" x14ac:dyDescent="0.3">
      <c r="A62" s="91"/>
      <c r="B62" s="122"/>
      <c r="C62" s="106"/>
      <c r="D62" s="326"/>
      <c r="E62" s="106"/>
      <c r="F62" s="327"/>
      <c r="G62" s="328"/>
      <c r="H62" s="327"/>
      <c r="I62" s="329"/>
      <c r="J62" s="327"/>
      <c r="K62" s="327"/>
      <c r="L62" s="327"/>
      <c r="M62" s="327"/>
      <c r="N62" s="327"/>
      <c r="O62" s="327"/>
      <c r="P62" s="308"/>
      <c r="Q62" s="122"/>
      <c r="R62" s="122"/>
    </row>
    <row r="63" spans="1:19" ht="15.6" x14ac:dyDescent="0.3">
      <c r="A63" s="122" t="s">
        <v>1</v>
      </c>
      <c r="B63" s="122"/>
      <c r="C63" s="106"/>
      <c r="D63" s="326"/>
      <c r="E63" s="106"/>
      <c r="F63" s="327"/>
      <c r="G63" s="328"/>
      <c r="H63" s="327"/>
      <c r="I63" s="329"/>
      <c r="J63" s="327"/>
      <c r="K63" s="327"/>
      <c r="L63" s="327"/>
      <c r="M63" s="327"/>
      <c r="N63" s="327"/>
      <c r="O63" s="327"/>
      <c r="P63" s="308"/>
      <c r="Q63" s="133"/>
      <c r="R63" s="133"/>
    </row>
    <row r="64" spans="1:19" ht="15.6" x14ac:dyDescent="0.3">
      <c r="A64" s="310" t="s">
        <v>3</v>
      </c>
      <c r="B64" s="310" t="s">
        <v>4</v>
      </c>
      <c r="C64" s="311" t="s">
        <v>186</v>
      </c>
      <c r="D64" s="312" t="str">
        <f>B!$D$11</f>
        <v>Jan-17</v>
      </c>
      <c r="E64" s="312" t="str">
        <f>B!$E$11</f>
        <v>Feb-17</v>
      </c>
      <c r="F64" s="312" t="str">
        <f>B!$F$11</f>
        <v>Mar-17</v>
      </c>
      <c r="G64" s="312" t="str">
        <f>B!$G$11</f>
        <v>Apr-17</v>
      </c>
      <c r="H64" s="312" t="str">
        <f>B!$H$11</f>
        <v>May-17</v>
      </c>
      <c r="I64" s="312" t="str">
        <f>B!$I$11</f>
        <v>Jun-17</v>
      </c>
      <c r="J64" s="312" t="str">
        <f>B!$J$11</f>
        <v>Jul-17</v>
      </c>
      <c r="K64" s="312" t="str">
        <f>B!$K$11</f>
        <v>Aug-17</v>
      </c>
      <c r="L64" s="312" t="str">
        <f>B!$L$11</f>
        <v>Sep-17</v>
      </c>
      <c r="M64" s="312" t="str">
        <f>B!$M$11</f>
        <v>Oct-17</v>
      </c>
      <c r="N64" s="312" t="str">
        <f>B!$N$11</f>
        <v>Nov-17</v>
      </c>
      <c r="O64" s="312" t="str">
        <f>B!$O$11</f>
        <v>Dec-17</v>
      </c>
      <c r="P64" s="216" t="s">
        <v>9</v>
      </c>
      <c r="S64" s="213"/>
    </row>
    <row r="65" spans="1:19" ht="15.6" x14ac:dyDescent="0.3">
      <c r="A65" s="122"/>
      <c r="B65" s="133" t="s">
        <v>42</v>
      </c>
      <c r="C65" s="129" t="s">
        <v>43</v>
      </c>
      <c r="D65" s="307" t="s">
        <v>45</v>
      </c>
      <c r="E65" s="307" t="s">
        <v>46</v>
      </c>
      <c r="F65" s="307" t="s">
        <v>49</v>
      </c>
      <c r="G65" s="307" t="s">
        <v>50</v>
      </c>
      <c r="H65" s="307" t="s">
        <v>51</v>
      </c>
      <c r="I65" s="307" t="s">
        <v>52</v>
      </c>
      <c r="J65" s="307" t="s">
        <v>53</v>
      </c>
      <c r="K65" s="134" t="s">
        <v>54</v>
      </c>
      <c r="L65" s="134" t="s">
        <v>55</v>
      </c>
      <c r="M65" s="134" t="s">
        <v>56</v>
      </c>
      <c r="N65" s="134" t="s">
        <v>57</v>
      </c>
      <c r="O65" s="134" t="s">
        <v>58</v>
      </c>
      <c r="P65" s="134" t="s">
        <v>59</v>
      </c>
      <c r="S65" s="133"/>
    </row>
    <row r="66" spans="1:19" ht="15.6" x14ac:dyDescent="0.3">
      <c r="A66" s="122"/>
      <c r="B66" s="133"/>
      <c r="C66" s="129"/>
      <c r="D66" s="170"/>
      <c r="E66" s="170"/>
      <c r="F66" s="170"/>
      <c r="G66" s="170"/>
      <c r="H66" s="170"/>
      <c r="I66" s="170"/>
      <c r="J66" s="171"/>
      <c r="K66" s="171"/>
      <c r="L66" s="171"/>
      <c r="M66" s="171"/>
      <c r="N66" s="171"/>
      <c r="O66" s="171"/>
      <c r="P66" s="134"/>
      <c r="S66" s="133"/>
    </row>
    <row r="67" spans="1:19" ht="15.6" x14ac:dyDescent="0.3">
      <c r="A67" s="92">
        <v>1</v>
      </c>
      <c r="B67" s="50" t="s">
        <v>250</v>
      </c>
      <c r="C67" s="131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51"/>
    </row>
    <row r="68" spans="1:19" x14ac:dyDescent="0.25">
      <c r="A68" s="92">
        <f>A67+1</f>
        <v>2</v>
      </c>
      <c r="B68" s="51" t="s">
        <v>360</v>
      </c>
      <c r="C68" s="131"/>
      <c r="D68" s="306"/>
      <c r="E68" s="306"/>
      <c r="F68" s="306"/>
      <c r="G68" s="323"/>
      <c r="H68" s="323"/>
      <c r="I68" s="323"/>
      <c r="J68" s="323"/>
      <c r="K68" s="323"/>
      <c r="L68" s="323"/>
      <c r="M68" s="306"/>
      <c r="N68" s="306"/>
      <c r="O68" s="306"/>
      <c r="P68" s="104"/>
    </row>
    <row r="69" spans="1:19" x14ac:dyDescent="0.25">
      <c r="A69" s="92">
        <f>A68+1</f>
        <v>3</v>
      </c>
      <c r="B69" s="330" t="s">
        <v>251</v>
      </c>
      <c r="C69" s="131"/>
      <c r="D69" s="323">
        <v>2</v>
      </c>
      <c r="E69" s="306">
        <v>2</v>
      </c>
      <c r="F69" s="306">
        <v>2</v>
      </c>
      <c r="G69" s="323">
        <v>2</v>
      </c>
      <c r="H69" s="323">
        <v>2</v>
      </c>
      <c r="I69" s="323">
        <f>2+0.4</f>
        <v>2.4</v>
      </c>
      <c r="J69" s="323">
        <v>2</v>
      </c>
      <c r="K69" s="323">
        <v>2</v>
      </c>
      <c r="L69" s="323">
        <v>2</v>
      </c>
      <c r="M69" s="306">
        <v>2</v>
      </c>
      <c r="N69" s="306">
        <v>2</v>
      </c>
      <c r="O69" s="306">
        <v>2</v>
      </c>
      <c r="P69" s="104">
        <f>SUM(D69:O69)</f>
        <v>24.4</v>
      </c>
    </row>
    <row r="70" spans="1:19" ht="16.8" x14ac:dyDescent="0.4">
      <c r="A70" s="92">
        <f>A69+1</f>
        <v>4</v>
      </c>
      <c r="B70" s="330" t="s">
        <v>252</v>
      </c>
      <c r="C70" s="131"/>
      <c r="D70" s="331">
        <v>89.8</v>
      </c>
      <c r="E70" s="331">
        <v>71.400000000000006</v>
      </c>
      <c r="F70" s="331">
        <v>43.4</v>
      </c>
      <c r="G70" s="331">
        <v>102.5</v>
      </c>
      <c r="H70" s="331">
        <v>65.400000000000006</v>
      </c>
      <c r="I70" s="331">
        <v>24.1</v>
      </c>
      <c r="J70" s="331">
        <v>24.2</v>
      </c>
      <c r="K70" s="331">
        <v>9.8000000000000007</v>
      </c>
      <c r="L70" s="331">
        <v>24.2</v>
      </c>
      <c r="M70" s="331">
        <v>73.900000000000006</v>
      </c>
      <c r="N70" s="331">
        <v>103.5</v>
      </c>
      <c r="O70" s="331">
        <v>57.5</v>
      </c>
      <c r="P70" s="136">
        <f>SUM(D70:O70)</f>
        <v>689.7</v>
      </c>
    </row>
    <row r="71" spans="1:19" x14ac:dyDescent="0.25">
      <c r="A71" s="92">
        <f>A70+1</f>
        <v>5</v>
      </c>
      <c r="B71" s="51" t="s">
        <v>360</v>
      </c>
      <c r="C71" s="131"/>
      <c r="D71" s="70">
        <f t="shared" ref="D71:N71" si="8">SUM(D69:D70)</f>
        <v>91.8</v>
      </c>
      <c r="E71" s="103">
        <f t="shared" si="8"/>
        <v>73.400000000000006</v>
      </c>
      <c r="F71" s="103">
        <f t="shared" si="8"/>
        <v>45.4</v>
      </c>
      <c r="G71" s="103">
        <f t="shared" si="8"/>
        <v>104.5</v>
      </c>
      <c r="H71" s="103">
        <f t="shared" si="8"/>
        <v>67.400000000000006</v>
      </c>
      <c r="I71" s="103">
        <f t="shared" si="8"/>
        <v>26.5</v>
      </c>
      <c r="J71" s="103">
        <f t="shared" si="8"/>
        <v>26.2</v>
      </c>
      <c r="K71" s="103">
        <f t="shared" si="8"/>
        <v>11.8</v>
      </c>
      <c r="L71" s="103">
        <f t="shared" si="8"/>
        <v>26.2</v>
      </c>
      <c r="M71" s="103">
        <f t="shared" si="8"/>
        <v>75.900000000000006</v>
      </c>
      <c r="N71" s="103">
        <f t="shared" si="8"/>
        <v>105.5</v>
      </c>
      <c r="O71" s="103">
        <f>SUM(O69:O70)</f>
        <v>59.5</v>
      </c>
      <c r="P71" s="104">
        <f>SUM(D71:O71)</f>
        <v>714.1</v>
      </c>
    </row>
    <row r="72" spans="1:19" ht="15.6" x14ac:dyDescent="0.3">
      <c r="A72" s="92"/>
      <c r="B72" s="51"/>
      <c r="C72" s="106"/>
      <c r="D72" s="103"/>
      <c r="E72" s="103"/>
      <c r="F72" s="103"/>
      <c r="G72" s="70"/>
      <c r="H72" s="70"/>
      <c r="I72" s="70"/>
      <c r="J72" s="70"/>
      <c r="K72" s="70"/>
      <c r="L72" s="70"/>
      <c r="M72" s="103"/>
      <c r="N72" s="103"/>
      <c r="O72" s="103"/>
      <c r="P72" s="104"/>
    </row>
    <row r="73" spans="1:19" ht="15.6" x14ac:dyDescent="0.3">
      <c r="A73" s="92">
        <f>A71+1</f>
        <v>6</v>
      </c>
      <c r="B73" s="50" t="s">
        <v>253</v>
      </c>
      <c r="C73" s="131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51"/>
    </row>
    <row r="74" spans="1:19" x14ac:dyDescent="0.25">
      <c r="A74" s="92">
        <f>A73+1</f>
        <v>7</v>
      </c>
      <c r="B74" s="51" t="s">
        <v>360</v>
      </c>
      <c r="C74" s="131"/>
      <c r="D74" s="306">
        <v>49.5</v>
      </c>
      <c r="E74" s="306">
        <v>58.7</v>
      </c>
      <c r="F74" s="306">
        <v>42</v>
      </c>
      <c r="G74" s="323">
        <v>20.7</v>
      </c>
      <c r="H74" s="323">
        <v>11.2</v>
      </c>
      <c r="I74" s="323">
        <v>4</v>
      </c>
      <c r="J74" s="323">
        <v>2.6</v>
      </c>
      <c r="K74" s="323">
        <v>2.8</v>
      </c>
      <c r="L74" s="323">
        <v>3</v>
      </c>
      <c r="M74" s="306">
        <v>3.9</v>
      </c>
      <c r="N74" s="323">
        <v>18.899999999999999</v>
      </c>
      <c r="O74" s="323">
        <v>40.299999999999997</v>
      </c>
      <c r="P74" s="104">
        <f>SUM(D74:O74)</f>
        <v>257.59999999999997</v>
      </c>
    </row>
    <row r="75" spans="1:19" x14ac:dyDescent="0.25">
      <c r="A75" s="92">
        <f>A74+1</f>
        <v>8</v>
      </c>
      <c r="B75" s="51" t="s">
        <v>244</v>
      </c>
      <c r="C75" s="141" t="s">
        <v>363</v>
      </c>
      <c r="D75" s="332">
        <v>0</v>
      </c>
      <c r="E75" s="332">
        <v>0</v>
      </c>
      <c r="F75" s="332">
        <v>0</v>
      </c>
      <c r="G75" s="332">
        <v>0</v>
      </c>
      <c r="H75" s="332">
        <v>0</v>
      </c>
      <c r="I75" s="332">
        <v>0</v>
      </c>
      <c r="J75" s="332">
        <v>0</v>
      </c>
      <c r="K75" s="332">
        <v>0</v>
      </c>
      <c r="L75" s="332">
        <v>0</v>
      </c>
      <c r="M75" s="332">
        <v>0</v>
      </c>
      <c r="N75" s="332">
        <v>0</v>
      </c>
      <c r="O75" s="332">
        <v>0</v>
      </c>
      <c r="P75" s="136">
        <f>SUM(D75:O75)</f>
        <v>0</v>
      </c>
    </row>
    <row r="76" spans="1:19" ht="15.6" x14ac:dyDescent="0.3">
      <c r="A76" s="92">
        <f>A75+1</f>
        <v>9</v>
      </c>
      <c r="B76" s="51" t="s">
        <v>263</v>
      </c>
      <c r="C76" s="106"/>
      <c r="D76" s="103">
        <f t="shared" ref="D76:O76" si="9">SUM(D74:D75)</f>
        <v>49.5</v>
      </c>
      <c r="E76" s="103">
        <f t="shared" si="9"/>
        <v>58.7</v>
      </c>
      <c r="F76" s="103">
        <f t="shared" si="9"/>
        <v>42</v>
      </c>
      <c r="G76" s="70">
        <f t="shared" si="9"/>
        <v>20.7</v>
      </c>
      <c r="H76" s="70">
        <f t="shared" si="9"/>
        <v>11.2</v>
      </c>
      <c r="I76" s="70">
        <f t="shared" si="9"/>
        <v>4</v>
      </c>
      <c r="J76" s="70">
        <f t="shared" si="9"/>
        <v>2.6</v>
      </c>
      <c r="K76" s="70">
        <f t="shared" si="9"/>
        <v>2.8</v>
      </c>
      <c r="L76" s="70">
        <f t="shared" si="9"/>
        <v>3</v>
      </c>
      <c r="M76" s="103">
        <f t="shared" si="9"/>
        <v>3.9</v>
      </c>
      <c r="N76" s="70">
        <f t="shared" si="9"/>
        <v>18.899999999999999</v>
      </c>
      <c r="O76" s="70">
        <f t="shared" si="9"/>
        <v>40.299999999999997</v>
      </c>
      <c r="P76" s="104">
        <f>SUM(D76:O76)</f>
        <v>257.59999999999997</v>
      </c>
    </row>
    <row r="77" spans="1:19" ht="15.6" x14ac:dyDescent="0.3">
      <c r="A77" s="92"/>
      <c r="B77" s="51"/>
      <c r="C77" s="106"/>
      <c r="D77" s="103"/>
      <c r="E77" s="103"/>
      <c r="F77" s="103"/>
      <c r="G77" s="70"/>
      <c r="H77" s="70"/>
      <c r="I77" s="70"/>
      <c r="J77" s="70"/>
      <c r="K77" s="70"/>
      <c r="L77" s="70"/>
      <c r="M77" s="103"/>
      <c r="N77" s="103"/>
      <c r="O77" s="103"/>
      <c r="P77" s="104"/>
    </row>
    <row r="78" spans="1:19" ht="15.6" x14ac:dyDescent="0.3">
      <c r="A78" s="92">
        <f>A76+1</f>
        <v>10</v>
      </c>
      <c r="B78" s="50" t="s">
        <v>254</v>
      </c>
      <c r="C78" s="131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70"/>
      <c r="O78" s="70"/>
      <c r="P78" s="51"/>
    </row>
    <row r="79" spans="1:19" x14ac:dyDescent="0.25">
      <c r="A79" s="92">
        <f>A78+1</f>
        <v>11</v>
      </c>
      <c r="B79" s="51" t="s">
        <v>360</v>
      </c>
      <c r="C79" s="131"/>
      <c r="D79" s="306"/>
      <c r="E79" s="306"/>
      <c r="F79" s="306"/>
      <c r="G79" s="323"/>
      <c r="H79" s="323"/>
      <c r="I79" s="323"/>
      <c r="J79" s="323"/>
      <c r="K79" s="323"/>
      <c r="L79" s="323"/>
      <c r="M79" s="306"/>
      <c r="N79" s="306"/>
      <c r="O79" s="306"/>
      <c r="P79" s="104"/>
    </row>
    <row r="80" spans="1:19" x14ac:dyDescent="0.25">
      <c r="A80" s="92">
        <f>A79+1</f>
        <v>12</v>
      </c>
      <c r="B80" s="330" t="s">
        <v>255</v>
      </c>
      <c r="C80" s="131"/>
      <c r="D80" s="323">
        <v>267724</v>
      </c>
      <c r="E80" s="306">
        <v>278801.2</v>
      </c>
      <c r="F80" s="306">
        <v>227946.5</v>
      </c>
      <c r="G80" s="323">
        <v>149431.79999999999</v>
      </c>
      <c r="H80" s="323">
        <v>76855.7</v>
      </c>
      <c r="I80" s="323">
        <v>48785.1</v>
      </c>
      <c r="J80" s="323">
        <v>38320.5</v>
      </c>
      <c r="K80" s="323">
        <v>36243</v>
      </c>
      <c r="L80" s="323">
        <v>36349</v>
      </c>
      <c r="M80" s="306">
        <v>49912.3</v>
      </c>
      <c r="N80" s="306">
        <v>96938</v>
      </c>
      <c r="O80" s="306">
        <v>195958.3</v>
      </c>
      <c r="P80" s="104">
        <f>SUM(D80:O80)</f>
        <v>1503265.4000000001</v>
      </c>
    </row>
    <row r="81" spans="1:94" x14ac:dyDescent="0.25">
      <c r="A81" s="92">
        <f>A80+1</f>
        <v>13</v>
      </c>
      <c r="B81" s="330" t="s">
        <v>256</v>
      </c>
      <c r="C81" s="131"/>
      <c r="D81" s="323">
        <v>283839.2</v>
      </c>
      <c r="E81" s="306">
        <v>279646.2</v>
      </c>
      <c r="F81" s="306">
        <v>182183.2</v>
      </c>
      <c r="G81" s="323">
        <v>107296.4</v>
      </c>
      <c r="H81" s="323">
        <v>47863</v>
      </c>
      <c r="I81" s="323">
        <v>28650.6</v>
      </c>
      <c r="J81" s="323">
        <v>16633.3</v>
      </c>
      <c r="K81" s="323">
        <v>15250.7</v>
      </c>
      <c r="L81" s="323">
        <v>14035.7</v>
      </c>
      <c r="M81" s="306">
        <v>24219.7</v>
      </c>
      <c r="N81" s="306">
        <v>64428</v>
      </c>
      <c r="O81" s="306">
        <v>177273</v>
      </c>
      <c r="P81" s="104">
        <f>SUM(D81:O81)</f>
        <v>1241319</v>
      </c>
    </row>
    <row r="82" spans="1:94" x14ac:dyDescent="0.25">
      <c r="A82" s="92">
        <f>A81+1</f>
        <v>14</v>
      </c>
      <c r="B82" s="330" t="s">
        <v>257</v>
      </c>
      <c r="C82" s="131"/>
      <c r="D82" s="323">
        <v>79819.5</v>
      </c>
      <c r="E82" s="306">
        <v>71400.100000000006</v>
      </c>
      <c r="F82" s="306">
        <v>38709.599999999999</v>
      </c>
      <c r="G82" s="323">
        <v>16894.099999999999</v>
      </c>
      <c r="H82" s="323">
        <v>7331.2</v>
      </c>
      <c r="I82" s="323">
        <v>3286.7</v>
      </c>
      <c r="J82" s="323">
        <v>1774.7</v>
      </c>
      <c r="K82" s="323">
        <v>1292</v>
      </c>
      <c r="L82" s="323">
        <v>1416.5</v>
      </c>
      <c r="M82" s="306">
        <v>3112.1</v>
      </c>
      <c r="N82" s="306">
        <v>8898.7999999999993</v>
      </c>
      <c r="O82" s="306">
        <v>40405.4</v>
      </c>
      <c r="P82" s="104">
        <f>SUM(D82:O82)</f>
        <v>274340.70000000007</v>
      </c>
    </row>
    <row r="83" spans="1:94" ht="16.8" x14ac:dyDescent="0.4">
      <c r="A83" s="92">
        <f>A82+1</f>
        <v>15</v>
      </c>
      <c r="B83" s="330" t="s">
        <v>258</v>
      </c>
      <c r="C83" s="131"/>
      <c r="D83" s="331">
        <v>31980.1</v>
      </c>
      <c r="E83" s="331">
        <v>27309.4</v>
      </c>
      <c r="F83" s="331">
        <v>9608.2000000000007</v>
      </c>
      <c r="G83" s="331">
        <v>4479.6000000000004</v>
      </c>
      <c r="H83" s="331">
        <v>2530.3000000000002</v>
      </c>
      <c r="I83" s="331">
        <v>45.9</v>
      </c>
      <c r="J83" s="331">
        <v>0</v>
      </c>
      <c r="K83" s="331">
        <v>0</v>
      </c>
      <c r="L83" s="331">
        <v>0</v>
      </c>
      <c r="M83" s="331">
        <v>0</v>
      </c>
      <c r="N83" s="331">
        <v>1571.1</v>
      </c>
      <c r="O83" s="331">
        <v>11834.2</v>
      </c>
      <c r="P83" s="136">
        <f>SUM(D83:O83)</f>
        <v>89358.8</v>
      </c>
    </row>
    <row r="84" spans="1:94" x14ac:dyDescent="0.25">
      <c r="A84" s="92"/>
      <c r="B84" s="330"/>
      <c r="C84" s="131"/>
      <c r="D84" s="103">
        <f t="shared" ref="D84:N84" si="10">SUM(D80:D83)</f>
        <v>663362.79999999993</v>
      </c>
      <c r="E84" s="103">
        <f t="shared" si="10"/>
        <v>657156.9</v>
      </c>
      <c r="F84" s="103">
        <f t="shared" si="10"/>
        <v>458447.5</v>
      </c>
      <c r="G84" s="103">
        <f t="shared" si="10"/>
        <v>278101.89999999997</v>
      </c>
      <c r="H84" s="103">
        <f t="shared" si="10"/>
        <v>134580.19999999998</v>
      </c>
      <c r="I84" s="103">
        <f t="shared" si="10"/>
        <v>80768.299999999988</v>
      </c>
      <c r="J84" s="103">
        <f t="shared" si="10"/>
        <v>56728.5</v>
      </c>
      <c r="K84" s="103">
        <f t="shared" si="10"/>
        <v>52785.7</v>
      </c>
      <c r="L84" s="103">
        <f t="shared" si="10"/>
        <v>51801.2</v>
      </c>
      <c r="M84" s="103">
        <f t="shared" si="10"/>
        <v>77244.100000000006</v>
      </c>
      <c r="N84" s="103">
        <f t="shared" si="10"/>
        <v>171835.9</v>
      </c>
      <c r="O84" s="103">
        <f>SUM(O80:O83)</f>
        <v>425470.9</v>
      </c>
      <c r="P84" s="104">
        <f>SUM(D84:O84)</f>
        <v>3108283.9</v>
      </c>
    </row>
    <row r="85" spans="1:94" x14ac:dyDescent="0.25">
      <c r="A85" s="92">
        <f>A83+1</f>
        <v>16</v>
      </c>
      <c r="B85" s="51" t="s">
        <v>244</v>
      </c>
      <c r="C85" s="141" t="s">
        <v>363</v>
      </c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70"/>
    </row>
    <row r="86" spans="1:94" x14ac:dyDescent="0.25">
      <c r="A86" s="92">
        <f>A85+1</f>
        <v>17</v>
      </c>
      <c r="B86" s="51" t="str">
        <f>B80</f>
        <v xml:space="preserve">    First 50 Mcf</v>
      </c>
      <c r="C86" s="141"/>
      <c r="D86" s="70">
        <f>'D pg 1'!D29</f>
        <v>-50</v>
      </c>
      <c r="E86" s="70">
        <f>'D pg 1'!E29</f>
        <v>-50</v>
      </c>
      <c r="F86" s="70">
        <f>'D pg 1'!F29</f>
        <v>-50</v>
      </c>
      <c r="G86" s="70">
        <f>'D pg 1'!G29</f>
        <v>-50</v>
      </c>
      <c r="H86" s="70">
        <f>'D pg 1'!H29</f>
        <v>-50</v>
      </c>
      <c r="I86" s="70">
        <f>'D pg 1'!I29</f>
        <v>-50</v>
      </c>
      <c r="J86" s="70">
        <f>'D pg 1'!J29</f>
        <v>0</v>
      </c>
      <c r="K86" s="70">
        <f>'D pg 1'!K29</f>
        <v>0</v>
      </c>
      <c r="L86" s="70">
        <f>'D pg 1'!L29</f>
        <v>0</v>
      </c>
      <c r="M86" s="70">
        <f>'D pg 1'!M29</f>
        <v>-50</v>
      </c>
      <c r="N86" s="70">
        <f>'D pg 1'!N29</f>
        <v>-50</v>
      </c>
      <c r="O86" s="70">
        <f>'D pg 1'!O29</f>
        <v>-50</v>
      </c>
      <c r="P86" s="70">
        <f>SUM(D86:O86)</f>
        <v>-450</v>
      </c>
    </row>
    <row r="87" spans="1:94" x14ac:dyDescent="0.25">
      <c r="A87" s="92">
        <f>A86+1</f>
        <v>18</v>
      </c>
      <c r="B87" s="51" t="str">
        <f>B81</f>
        <v xml:space="preserve">    Next 350 Mcf</v>
      </c>
      <c r="C87" s="141"/>
      <c r="D87" s="70">
        <f>'D pg 1'!D30</f>
        <v>-350</v>
      </c>
      <c r="E87" s="70">
        <f>'D pg 1'!E30</f>
        <v>-350</v>
      </c>
      <c r="F87" s="70">
        <f>'D pg 1'!F30</f>
        <v>-350</v>
      </c>
      <c r="G87" s="70">
        <f>'D pg 1'!G30</f>
        <v>-350</v>
      </c>
      <c r="H87" s="70">
        <f>'D pg 1'!H30</f>
        <v>-50</v>
      </c>
      <c r="I87" s="70">
        <f>'D pg 1'!I30</f>
        <v>0</v>
      </c>
      <c r="J87" s="70">
        <f>'D pg 1'!J30</f>
        <v>0</v>
      </c>
      <c r="K87" s="70">
        <f>'D pg 1'!K30</f>
        <v>0</v>
      </c>
      <c r="L87" s="70">
        <f>'D pg 1'!L30</f>
        <v>0</v>
      </c>
      <c r="M87" s="70">
        <f>'D pg 1'!M30</f>
        <v>-50</v>
      </c>
      <c r="N87" s="70">
        <f>'D pg 1'!N30</f>
        <v>-350</v>
      </c>
      <c r="O87" s="70">
        <f>'D pg 1'!O30</f>
        <v>-350</v>
      </c>
      <c r="P87" s="70">
        <f>SUM(D87:O87)</f>
        <v>-2200</v>
      </c>
    </row>
    <row r="88" spans="1:94" x14ac:dyDescent="0.25">
      <c r="A88" s="92">
        <f>A87+1</f>
        <v>19</v>
      </c>
      <c r="B88" s="51" t="str">
        <f>B82</f>
        <v xml:space="preserve">    Next 600 Mcf</v>
      </c>
      <c r="C88" s="141"/>
      <c r="D88" s="70">
        <f>'D pg 1'!D31</f>
        <v>-600</v>
      </c>
      <c r="E88" s="70">
        <f>'D pg 1'!E31</f>
        <v>-600</v>
      </c>
      <c r="F88" s="70">
        <f>'D pg 1'!F31</f>
        <v>-600</v>
      </c>
      <c r="G88" s="70">
        <f>'D pg 1'!G31</f>
        <v>-400</v>
      </c>
      <c r="H88" s="70">
        <f>'D pg 1'!H31</f>
        <v>0</v>
      </c>
      <c r="I88" s="70">
        <f>'D pg 1'!I31</f>
        <v>0</v>
      </c>
      <c r="J88" s="70">
        <f>'D pg 1'!J31</f>
        <v>0</v>
      </c>
      <c r="K88" s="70">
        <f>'D pg 1'!K31</f>
        <v>0</v>
      </c>
      <c r="L88" s="70">
        <f>'D pg 1'!L31</f>
        <v>0</v>
      </c>
      <c r="M88" s="70">
        <f>'D pg 1'!M31</f>
        <v>0</v>
      </c>
      <c r="N88" s="70">
        <f>'D pg 1'!N31</f>
        <v>-400</v>
      </c>
      <c r="O88" s="70">
        <f>'D pg 1'!O31</f>
        <v>-600</v>
      </c>
      <c r="P88" s="70">
        <f>SUM(D88:O88)</f>
        <v>-3200</v>
      </c>
    </row>
    <row r="89" spans="1:94" x14ac:dyDescent="0.25">
      <c r="A89" s="92">
        <f>A88+1</f>
        <v>20</v>
      </c>
      <c r="B89" s="51" t="str">
        <f>B83</f>
        <v xml:space="preserve">    Over 1,000 Mcf</v>
      </c>
      <c r="C89" s="141"/>
      <c r="D89" s="136">
        <f>'D pg 1'!D32</f>
        <v>-1622.8</v>
      </c>
      <c r="E89" s="136">
        <f>'D pg 1'!E32</f>
        <v>-1096</v>
      </c>
      <c r="F89" s="136">
        <f>'D pg 1'!F32</f>
        <v>-600</v>
      </c>
      <c r="G89" s="136">
        <f>'D pg 1'!G32</f>
        <v>0</v>
      </c>
      <c r="H89" s="136">
        <f>'D pg 1'!H32</f>
        <v>0</v>
      </c>
      <c r="I89" s="136">
        <f>'D pg 1'!I32</f>
        <v>0</v>
      </c>
      <c r="J89" s="136">
        <f>'D pg 1'!J32</f>
        <v>0</v>
      </c>
      <c r="K89" s="136">
        <f>'D pg 1'!K32</f>
        <v>0</v>
      </c>
      <c r="L89" s="136">
        <f>'D pg 1'!L32</f>
        <v>0</v>
      </c>
      <c r="M89" s="136">
        <f>'D pg 1'!M32</f>
        <v>0</v>
      </c>
      <c r="N89" s="136">
        <f>'D pg 1'!N32</f>
        <v>0</v>
      </c>
      <c r="O89" s="136">
        <f>'D pg 1'!O32</f>
        <v>-900</v>
      </c>
      <c r="P89" s="136">
        <f>SUM(D89:O89)</f>
        <v>-4218.8</v>
      </c>
    </row>
    <row r="90" spans="1:94" x14ac:dyDescent="0.25">
      <c r="A90" s="92"/>
      <c r="B90" s="51"/>
      <c r="C90" s="141"/>
      <c r="D90" s="70">
        <f t="shared" ref="D90:N90" si="11">SUM(D86:D89)</f>
        <v>-2622.8</v>
      </c>
      <c r="E90" s="70">
        <f t="shared" si="11"/>
        <v>-2096</v>
      </c>
      <c r="F90" s="70">
        <f t="shared" si="11"/>
        <v>-1600</v>
      </c>
      <c r="G90" s="70">
        <f t="shared" si="11"/>
        <v>-800</v>
      </c>
      <c r="H90" s="70">
        <f t="shared" si="11"/>
        <v>-100</v>
      </c>
      <c r="I90" s="70">
        <f t="shared" si="11"/>
        <v>-50</v>
      </c>
      <c r="J90" s="70">
        <f t="shared" si="11"/>
        <v>0</v>
      </c>
      <c r="K90" s="70">
        <f t="shared" si="11"/>
        <v>0</v>
      </c>
      <c r="L90" s="70">
        <f t="shared" si="11"/>
        <v>0</v>
      </c>
      <c r="M90" s="70">
        <f t="shared" si="11"/>
        <v>-100</v>
      </c>
      <c r="N90" s="70">
        <f t="shared" si="11"/>
        <v>-800</v>
      </c>
      <c r="O90" s="70">
        <f>SUM(O86:O89)</f>
        <v>-1900</v>
      </c>
      <c r="P90" s="70">
        <f>SUM(D90:O90)</f>
        <v>-10068.799999999999</v>
      </c>
    </row>
    <row r="91" spans="1:94" s="101" customFormat="1" ht="15.6" x14ac:dyDescent="0.3">
      <c r="A91" s="92">
        <f>A89+1</f>
        <v>21</v>
      </c>
      <c r="B91" s="51" t="s">
        <v>263</v>
      </c>
      <c r="C91" s="106"/>
      <c r="D91" s="103"/>
      <c r="E91" s="103"/>
      <c r="F91" s="103"/>
      <c r="G91" s="70"/>
      <c r="H91" s="70"/>
      <c r="I91" s="70"/>
      <c r="J91" s="70"/>
      <c r="K91" s="70"/>
      <c r="L91" s="70"/>
      <c r="M91" s="103"/>
      <c r="N91" s="103"/>
      <c r="O91" s="103"/>
      <c r="P91" s="104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</row>
    <row r="92" spans="1:94" ht="15.6" x14ac:dyDescent="0.3">
      <c r="A92" s="92">
        <f>A91+1</f>
        <v>22</v>
      </c>
      <c r="B92" s="51" t="str">
        <f>B80</f>
        <v xml:space="preserve">    First 50 Mcf</v>
      </c>
      <c r="C92" s="129"/>
      <c r="D92" s="163">
        <f>D80+D86</f>
        <v>267674</v>
      </c>
      <c r="E92" s="163">
        <f t="shared" ref="E92:O92" si="12">E80+E86</f>
        <v>278751.2</v>
      </c>
      <c r="F92" s="163">
        <f t="shared" si="12"/>
        <v>227896.5</v>
      </c>
      <c r="G92" s="163">
        <f t="shared" si="12"/>
        <v>149381.79999999999</v>
      </c>
      <c r="H92" s="163">
        <f t="shared" si="12"/>
        <v>76805.7</v>
      </c>
      <c r="I92" s="163">
        <f t="shared" si="12"/>
        <v>48735.1</v>
      </c>
      <c r="J92" s="163">
        <f t="shared" si="12"/>
        <v>38320.5</v>
      </c>
      <c r="K92" s="163">
        <f t="shared" si="12"/>
        <v>36243</v>
      </c>
      <c r="L92" s="163">
        <f t="shared" si="12"/>
        <v>36349</v>
      </c>
      <c r="M92" s="163">
        <f t="shared" si="12"/>
        <v>49862.3</v>
      </c>
      <c r="N92" s="163">
        <f t="shared" si="12"/>
        <v>96888</v>
      </c>
      <c r="O92" s="163">
        <f t="shared" si="12"/>
        <v>195908.3</v>
      </c>
      <c r="P92" s="103">
        <f>SUM(D92:O92)</f>
        <v>1502815.4000000001</v>
      </c>
      <c r="S92" s="133"/>
    </row>
    <row r="93" spans="1:94" ht="15.6" x14ac:dyDescent="0.3">
      <c r="A93" s="92">
        <f>A92+1</f>
        <v>23</v>
      </c>
      <c r="B93" s="51" t="str">
        <f>B81</f>
        <v xml:space="preserve">    Next 350 Mcf</v>
      </c>
      <c r="C93" s="129"/>
      <c r="D93" s="163">
        <f t="shared" ref="D93:O95" si="13">D81+D87</f>
        <v>283489.2</v>
      </c>
      <c r="E93" s="163">
        <f t="shared" si="13"/>
        <v>279296.2</v>
      </c>
      <c r="F93" s="163">
        <f t="shared" si="13"/>
        <v>181833.2</v>
      </c>
      <c r="G93" s="163">
        <f t="shared" si="13"/>
        <v>106946.4</v>
      </c>
      <c r="H93" s="163">
        <f t="shared" si="13"/>
        <v>47813</v>
      </c>
      <c r="I93" s="163">
        <f t="shared" si="13"/>
        <v>28650.6</v>
      </c>
      <c r="J93" s="163">
        <f t="shared" si="13"/>
        <v>16633.3</v>
      </c>
      <c r="K93" s="163">
        <f t="shared" si="13"/>
        <v>15250.7</v>
      </c>
      <c r="L93" s="163">
        <f t="shared" si="13"/>
        <v>14035.7</v>
      </c>
      <c r="M93" s="163">
        <f t="shared" si="13"/>
        <v>24169.7</v>
      </c>
      <c r="N93" s="163">
        <f t="shared" si="13"/>
        <v>64078</v>
      </c>
      <c r="O93" s="163">
        <f t="shared" si="13"/>
        <v>176923</v>
      </c>
      <c r="P93" s="103">
        <f>SUM(D93:O93)</f>
        <v>1239119</v>
      </c>
      <c r="S93" s="133"/>
    </row>
    <row r="94" spans="1:94" ht="15.6" x14ac:dyDescent="0.3">
      <c r="A94" s="92">
        <f>A93+1</f>
        <v>24</v>
      </c>
      <c r="B94" s="51" t="str">
        <f>B82</f>
        <v xml:space="preserve">    Next 600 Mcf</v>
      </c>
      <c r="C94" s="129"/>
      <c r="D94" s="163">
        <f t="shared" si="13"/>
        <v>79219.5</v>
      </c>
      <c r="E94" s="163">
        <f t="shared" si="13"/>
        <v>70800.100000000006</v>
      </c>
      <c r="F94" s="163">
        <f t="shared" si="13"/>
        <v>38109.599999999999</v>
      </c>
      <c r="G94" s="163">
        <f t="shared" si="13"/>
        <v>16494.099999999999</v>
      </c>
      <c r="H94" s="163">
        <f t="shared" si="13"/>
        <v>7331.2</v>
      </c>
      <c r="I94" s="163">
        <f t="shared" si="13"/>
        <v>3286.7</v>
      </c>
      <c r="J94" s="163">
        <f t="shared" si="13"/>
        <v>1774.7</v>
      </c>
      <c r="K94" s="163">
        <f t="shared" si="13"/>
        <v>1292</v>
      </c>
      <c r="L94" s="163">
        <f t="shared" si="13"/>
        <v>1416.5</v>
      </c>
      <c r="M94" s="163">
        <f t="shared" si="13"/>
        <v>3112.1</v>
      </c>
      <c r="N94" s="163">
        <f t="shared" si="13"/>
        <v>8498.7999999999993</v>
      </c>
      <c r="O94" s="163">
        <f t="shared" si="13"/>
        <v>39805.4</v>
      </c>
      <c r="P94" s="103">
        <f>SUM(D94:O94)</f>
        <v>271140.70000000007</v>
      </c>
      <c r="S94" s="133"/>
    </row>
    <row r="95" spans="1:94" ht="15.6" x14ac:dyDescent="0.3">
      <c r="A95" s="92">
        <f>A94+1</f>
        <v>25</v>
      </c>
      <c r="B95" s="51" t="str">
        <f>B83</f>
        <v xml:space="preserve">    Over 1,000 Mcf</v>
      </c>
      <c r="C95" s="129"/>
      <c r="D95" s="138">
        <f t="shared" si="13"/>
        <v>30357.3</v>
      </c>
      <c r="E95" s="138">
        <f t="shared" si="13"/>
        <v>26213.4</v>
      </c>
      <c r="F95" s="138">
        <f t="shared" si="13"/>
        <v>9008.2000000000007</v>
      </c>
      <c r="G95" s="138">
        <f t="shared" si="13"/>
        <v>4479.6000000000004</v>
      </c>
      <c r="H95" s="138">
        <f t="shared" si="13"/>
        <v>2530.3000000000002</v>
      </c>
      <c r="I95" s="138">
        <f t="shared" si="13"/>
        <v>45.9</v>
      </c>
      <c r="J95" s="138">
        <f t="shared" si="13"/>
        <v>0</v>
      </c>
      <c r="K95" s="138">
        <f t="shared" si="13"/>
        <v>0</v>
      </c>
      <c r="L95" s="138">
        <f t="shared" si="13"/>
        <v>0</v>
      </c>
      <c r="M95" s="138">
        <f t="shared" si="13"/>
        <v>0</v>
      </c>
      <c r="N95" s="138">
        <f t="shared" si="13"/>
        <v>1571.1</v>
      </c>
      <c r="O95" s="138">
        <f t="shared" si="13"/>
        <v>10934.2</v>
      </c>
      <c r="P95" s="136">
        <f>SUM(D95:O95)</f>
        <v>85140</v>
      </c>
      <c r="S95" s="133"/>
    </row>
    <row r="96" spans="1:94" ht="15.6" x14ac:dyDescent="0.3">
      <c r="A96" s="92">
        <f>A95+1</f>
        <v>26</v>
      </c>
      <c r="B96" s="66" t="s">
        <v>361</v>
      </c>
      <c r="C96" s="129"/>
      <c r="D96" s="163">
        <f>D84+D90</f>
        <v>660739.99999999988</v>
      </c>
      <c r="E96" s="163">
        <f t="shared" ref="E96:O96" si="14">E84+E90</f>
        <v>655060.9</v>
      </c>
      <c r="F96" s="163">
        <f t="shared" si="14"/>
        <v>456847.5</v>
      </c>
      <c r="G96" s="163">
        <f t="shared" si="14"/>
        <v>277301.89999999997</v>
      </c>
      <c r="H96" s="163">
        <f t="shared" si="14"/>
        <v>134480.19999999998</v>
      </c>
      <c r="I96" s="163">
        <f t="shared" si="14"/>
        <v>80718.299999999988</v>
      </c>
      <c r="J96" s="163">
        <f t="shared" si="14"/>
        <v>56728.5</v>
      </c>
      <c r="K96" s="163">
        <f t="shared" si="14"/>
        <v>52785.7</v>
      </c>
      <c r="L96" s="163">
        <f t="shared" si="14"/>
        <v>51801.2</v>
      </c>
      <c r="M96" s="163">
        <f t="shared" si="14"/>
        <v>77144.100000000006</v>
      </c>
      <c r="N96" s="163">
        <f t="shared" si="14"/>
        <v>171035.9</v>
      </c>
      <c r="O96" s="163">
        <f t="shared" si="14"/>
        <v>423570.9</v>
      </c>
      <c r="P96" s="70">
        <f>SUM(D96:O96)</f>
        <v>3098215.1</v>
      </c>
      <c r="S96" s="133"/>
    </row>
    <row r="97" spans="1:19" ht="15.6" x14ac:dyDescent="0.3">
      <c r="A97" s="92"/>
      <c r="B97" s="66"/>
      <c r="C97" s="129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70"/>
      <c r="S97" s="133"/>
    </row>
    <row r="98" spans="1:19" ht="15.6" x14ac:dyDescent="0.3">
      <c r="A98" s="984" t="str">
        <f>CONAME</f>
        <v>Columbia Gas of Kentucky, Inc.</v>
      </c>
      <c r="B98" s="984"/>
      <c r="C98" s="984"/>
      <c r="D98" s="984"/>
      <c r="E98" s="984"/>
      <c r="F98" s="984"/>
      <c r="G98" s="984"/>
      <c r="H98" s="984"/>
      <c r="I98" s="984"/>
      <c r="J98" s="984"/>
      <c r="K98" s="984"/>
      <c r="L98" s="984"/>
      <c r="M98" s="984"/>
      <c r="N98" s="984"/>
      <c r="O98" s="984"/>
      <c r="P98" s="984"/>
      <c r="S98" s="133"/>
    </row>
    <row r="99" spans="1:19" ht="15.6" x14ac:dyDescent="0.3">
      <c r="A99" s="984" t="s">
        <v>197</v>
      </c>
      <c r="B99" s="984"/>
      <c r="C99" s="984"/>
      <c r="D99" s="984"/>
      <c r="E99" s="984"/>
      <c r="F99" s="984"/>
      <c r="G99" s="984"/>
      <c r="H99" s="984"/>
      <c r="I99" s="984"/>
      <c r="J99" s="984"/>
      <c r="K99" s="984"/>
      <c r="L99" s="984"/>
      <c r="M99" s="984"/>
      <c r="N99" s="984"/>
      <c r="O99" s="984"/>
      <c r="P99" s="984"/>
      <c r="S99" s="133"/>
    </row>
    <row r="100" spans="1:19" ht="15.6" x14ac:dyDescent="0.3">
      <c r="A100" s="983" t="str">
        <f>TYDESC</f>
        <v>For the 12 Months Ended December 31, 2017</v>
      </c>
      <c r="B100" s="983"/>
      <c r="C100" s="983"/>
      <c r="D100" s="983"/>
      <c r="E100" s="983"/>
      <c r="F100" s="983"/>
      <c r="G100" s="983"/>
      <c r="H100" s="983"/>
      <c r="I100" s="983"/>
      <c r="J100" s="983"/>
      <c r="K100" s="983"/>
      <c r="L100" s="983"/>
      <c r="M100" s="983"/>
      <c r="N100" s="983"/>
      <c r="O100" s="983"/>
      <c r="P100" s="983"/>
      <c r="S100" s="133"/>
    </row>
    <row r="101" spans="1:19" ht="15.6" x14ac:dyDescent="0.3">
      <c r="A101" s="122"/>
      <c r="B101" s="133"/>
      <c r="C101" s="129"/>
      <c r="D101" s="170"/>
      <c r="E101" s="170"/>
      <c r="F101" s="170"/>
      <c r="G101" s="170"/>
      <c r="H101" s="170"/>
      <c r="I101" s="170"/>
      <c r="J101" s="171"/>
      <c r="K101" s="171"/>
      <c r="L101" s="171"/>
      <c r="M101" s="171"/>
      <c r="N101" s="171"/>
      <c r="O101" s="171"/>
      <c r="P101" s="134"/>
      <c r="S101" s="133"/>
    </row>
    <row r="102" spans="1:19" ht="15.6" x14ac:dyDescent="0.3">
      <c r="A102" s="98" t="str">
        <f>$A$5</f>
        <v>Data: __ Base Period_X_Forecasted Period</v>
      </c>
      <c r="B102" s="51"/>
      <c r="C102" s="106"/>
      <c r="D102" s="106"/>
      <c r="E102" s="106"/>
      <c r="F102" s="106"/>
      <c r="G102" s="94"/>
      <c r="H102" s="94"/>
      <c r="I102" s="94"/>
      <c r="J102" s="94"/>
      <c r="K102" s="94"/>
      <c r="L102" s="94"/>
      <c r="M102" s="94"/>
      <c r="N102" s="94"/>
      <c r="O102" s="94"/>
      <c r="P102" s="324" t="str">
        <f>$P$5</f>
        <v>Workpaper WPM-C.2</v>
      </c>
    </row>
    <row r="103" spans="1:19" ht="15.6" x14ac:dyDescent="0.3">
      <c r="A103" s="98" t="str">
        <f>$A$6</f>
        <v>Type of Filing: X Original _ Update _ Revised</v>
      </c>
      <c r="B103" s="51"/>
      <c r="C103" s="106"/>
      <c r="D103" s="106"/>
      <c r="E103" s="106"/>
      <c r="F103" s="106"/>
      <c r="G103" s="94"/>
      <c r="H103" s="94"/>
      <c r="I103" s="94"/>
      <c r="J103" s="94"/>
      <c r="K103" s="94"/>
      <c r="L103" s="94"/>
      <c r="M103" s="94"/>
      <c r="N103" s="94"/>
      <c r="O103" s="94"/>
      <c r="P103" s="325" t="s">
        <v>366</v>
      </c>
    </row>
    <row r="104" spans="1:19" ht="15.6" x14ac:dyDescent="0.3">
      <c r="A104" s="98" t="str">
        <f>$A$7</f>
        <v>Work Paper Reference No(s):</v>
      </c>
      <c r="B104" s="51"/>
      <c r="C104" s="106"/>
      <c r="D104" s="106"/>
      <c r="E104" s="106"/>
      <c r="F104" s="106"/>
      <c r="G104" s="94"/>
      <c r="H104" s="94"/>
      <c r="I104" s="94"/>
      <c r="J104" s="94"/>
      <c r="K104" s="94"/>
      <c r="L104" s="94"/>
      <c r="M104" s="94"/>
      <c r="N104" s="94"/>
      <c r="O104" s="94"/>
      <c r="P104" s="325"/>
    </row>
    <row r="105" spans="1:19" ht="15.6" x14ac:dyDescent="0.3">
      <c r="A105" s="130" t="str">
        <f>$A$8</f>
        <v>12 Months Forecasted</v>
      </c>
      <c r="B105" s="122"/>
      <c r="C105" s="106"/>
      <c r="D105" s="326"/>
      <c r="E105" s="106"/>
      <c r="F105" s="327"/>
      <c r="G105" s="328"/>
      <c r="H105" s="327"/>
      <c r="I105" s="329"/>
      <c r="J105" s="327"/>
      <c r="K105" s="327"/>
      <c r="L105" s="327"/>
      <c r="M105" s="327"/>
      <c r="N105" s="327"/>
      <c r="O105" s="327"/>
      <c r="P105" s="308"/>
      <c r="Q105" s="122"/>
      <c r="R105" s="122"/>
    </row>
    <row r="106" spans="1:19" ht="15.6" x14ac:dyDescent="0.3">
      <c r="A106" s="91"/>
      <c r="B106" s="122"/>
      <c r="C106" s="106"/>
      <c r="D106" s="326"/>
      <c r="E106" s="106"/>
      <c r="F106" s="327"/>
      <c r="G106" s="328"/>
      <c r="H106" s="327"/>
      <c r="I106" s="329"/>
      <c r="J106" s="327"/>
      <c r="K106" s="327"/>
      <c r="L106" s="327"/>
      <c r="M106" s="327"/>
      <c r="N106" s="327"/>
      <c r="O106" s="327"/>
      <c r="P106" s="308"/>
      <c r="Q106" s="122"/>
      <c r="R106" s="122"/>
    </row>
    <row r="107" spans="1:19" ht="15.6" x14ac:dyDescent="0.3">
      <c r="A107" s="122" t="s">
        <v>1</v>
      </c>
      <c r="B107" s="122"/>
      <c r="C107" s="106"/>
      <c r="D107" s="326"/>
      <c r="E107" s="106"/>
      <c r="F107" s="327"/>
      <c r="G107" s="328"/>
      <c r="H107" s="327"/>
      <c r="I107" s="329"/>
      <c r="J107" s="327"/>
      <c r="K107" s="327"/>
      <c r="L107" s="327"/>
      <c r="M107" s="327"/>
      <c r="N107" s="327"/>
      <c r="O107" s="327"/>
      <c r="P107" s="308"/>
      <c r="Q107" s="133"/>
      <c r="R107" s="133"/>
    </row>
    <row r="108" spans="1:19" ht="15.6" x14ac:dyDescent="0.3">
      <c r="A108" s="310" t="s">
        <v>3</v>
      </c>
      <c r="B108" s="310" t="s">
        <v>4</v>
      </c>
      <c r="C108" s="311" t="s">
        <v>186</v>
      </c>
      <c r="D108" s="312" t="str">
        <f>B!$D$11</f>
        <v>Jan-17</v>
      </c>
      <c r="E108" s="312" t="str">
        <f>B!$E$11</f>
        <v>Feb-17</v>
      </c>
      <c r="F108" s="312" t="str">
        <f>B!$F$11</f>
        <v>Mar-17</v>
      </c>
      <c r="G108" s="312" t="str">
        <f>B!$G$11</f>
        <v>Apr-17</v>
      </c>
      <c r="H108" s="312" t="str">
        <f>B!$H$11</f>
        <v>May-17</v>
      </c>
      <c r="I108" s="312" t="str">
        <f>B!$I$11</f>
        <v>Jun-17</v>
      </c>
      <c r="J108" s="312" t="str">
        <f>B!$J$11</f>
        <v>Jul-17</v>
      </c>
      <c r="K108" s="312" t="str">
        <f>B!$K$11</f>
        <v>Aug-17</v>
      </c>
      <c r="L108" s="312" t="str">
        <f>B!$L$11</f>
        <v>Sep-17</v>
      </c>
      <c r="M108" s="312" t="str">
        <f>B!$M$11</f>
        <v>Oct-17</v>
      </c>
      <c r="N108" s="312" t="str">
        <f>B!$N$11</f>
        <v>Nov-17</v>
      </c>
      <c r="O108" s="312" t="str">
        <f>B!$O$11</f>
        <v>Dec-17</v>
      </c>
      <c r="P108" s="216" t="s">
        <v>9</v>
      </c>
      <c r="S108" s="213"/>
    </row>
    <row r="109" spans="1:19" ht="15.6" x14ac:dyDescent="0.3">
      <c r="A109" s="122"/>
      <c r="B109" s="133" t="s">
        <v>42</v>
      </c>
      <c r="C109" s="129" t="s">
        <v>43</v>
      </c>
      <c r="D109" s="307" t="s">
        <v>45</v>
      </c>
      <c r="E109" s="307" t="s">
        <v>46</v>
      </c>
      <c r="F109" s="307" t="s">
        <v>49</v>
      </c>
      <c r="G109" s="307" t="s">
        <v>50</v>
      </c>
      <c r="H109" s="307" t="s">
        <v>51</v>
      </c>
      <c r="I109" s="307" t="s">
        <v>52</v>
      </c>
      <c r="J109" s="307" t="s">
        <v>53</v>
      </c>
      <c r="K109" s="134" t="s">
        <v>54</v>
      </c>
      <c r="L109" s="134" t="s">
        <v>55</v>
      </c>
      <c r="M109" s="134" t="s">
        <v>56</v>
      </c>
      <c r="N109" s="134" t="s">
        <v>57</v>
      </c>
      <c r="O109" s="134" t="s">
        <v>58</v>
      </c>
      <c r="P109" s="134" t="s">
        <v>59</v>
      </c>
      <c r="S109" s="133"/>
    </row>
    <row r="110" spans="1:19" ht="15.6" x14ac:dyDescent="0.3">
      <c r="A110" s="122"/>
      <c r="B110" s="133"/>
      <c r="C110" s="129"/>
      <c r="D110" s="170"/>
      <c r="E110" s="170"/>
      <c r="F110" s="170"/>
      <c r="G110" s="170"/>
      <c r="H110" s="170"/>
      <c r="I110" s="170"/>
      <c r="J110" s="171"/>
      <c r="K110" s="171"/>
      <c r="L110" s="171"/>
      <c r="M110" s="171"/>
      <c r="N110" s="171"/>
      <c r="O110" s="171"/>
      <c r="P110" s="134"/>
      <c r="S110" s="133"/>
    </row>
    <row r="111" spans="1:19" ht="15.6" x14ac:dyDescent="0.3">
      <c r="A111" s="92">
        <f>A109+1</f>
        <v>1</v>
      </c>
      <c r="B111" s="50" t="s">
        <v>264</v>
      </c>
      <c r="C111" s="131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51"/>
    </row>
    <row r="112" spans="1:19" x14ac:dyDescent="0.25">
      <c r="A112" s="92">
        <f>A111+1</f>
        <v>2</v>
      </c>
      <c r="B112" s="51" t="s">
        <v>360</v>
      </c>
      <c r="C112" s="131"/>
      <c r="D112" s="306"/>
      <c r="E112" s="306"/>
      <c r="F112" s="306"/>
      <c r="G112" s="323"/>
      <c r="H112" s="323"/>
      <c r="I112" s="323"/>
      <c r="J112" s="323"/>
      <c r="K112" s="323"/>
      <c r="L112" s="323"/>
      <c r="M112" s="306"/>
      <c r="N112" s="306"/>
      <c r="O112" s="306"/>
      <c r="P112" s="104"/>
    </row>
    <row r="113" spans="1:94" x14ac:dyDescent="0.25">
      <c r="A113" s="92">
        <f>A112+1</f>
        <v>3</v>
      </c>
      <c r="B113" s="330" t="s">
        <v>255</v>
      </c>
      <c r="C113" s="131"/>
      <c r="D113" s="323">
        <v>1558.9</v>
      </c>
      <c r="E113" s="306">
        <v>1551.3</v>
      </c>
      <c r="F113" s="306">
        <v>1600.8</v>
      </c>
      <c r="G113" s="323">
        <v>1363.3</v>
      </c>
      <c r="H113" s="323">
        <v>1020.7</v>
      </c>
      <c r="I113" s="323">
        <v>766.7</v>
      </c>
      <c r="J113" s="323">
        <v>635.29999999999995</v>
      </c>
      <c r="K113" s="323">
        <v>732.2</v>
      </c>
      <c r="L113" s="323">
        <v>790.1</v>
      </c>
      <c r="M113" s="306">
        <v>900</v>
      </c>
      <c r="N113" s="306">
        <v>1284.4000000000001</v>
      </c>
      <c r="O113" s="306">
        <v>1486.5</v>
      </c>
      <c r="P113" s="70">
        <f>SUM(D113:O113)</f>
        <v>13690.2</v>
      </c>
    </row>
    <row r="114" spans="1:94" x14ac:dyDescent="0.25">
      <c r="A114" s="92">
        <f>A113+1</f>
        <v>4</v>
      </c>
      <c r="B114" s="330" t="s">
        <v>256</v>
      </c>
      <c r="C114" s="131"/>
      <c r="D114" s="323">
        <v>6098.9</v>
      </c>
      <c r="E114" s="306">
        <v>4956.8</v>
      </c>
      <c r="F114" s="306">
        <v>5106.3999999999996</v>
      </c>
      <c r="G114" s="323">
        <v>5165.5</v>
      </c>
      <c r="H114" s="323">
        <v>3527.2</v>
      </c>
      <c r="I114" s="323">
        <v>3061.5</v>
      </c>
      <c r="J114" s="323">
        <v>3237.7</v>
      </c>
      <c r="K114" s="323">
        <v>3639.2</v>
      </c>
      <c r="L114" s="323">
        <v>3340.5</v>
      </c>
      <c r="M114" s="306">
        <v>3872.5</v>
      </c>
      <c r="N114" s="306">
        <v>4518</v>
      </c>
      <c r="O114" s="306">
        <v>4871.8999999999996</v>
      </c>
      <c r="P114" s="70">
        <f>SUM(D114:O114)</f>
        <v>51396.1</v>
      </c>
    </row>
    <row r="115" spans="1:94" x14ac:dyDescent="0.25">
      <c r="A115" s="92">
        <f>A114+1</f>
        <v>5</v>
      </c>
      <c r="B115" s="330" t="s">
        <v>257</v>
      </c>
      <c r="C115" s="131"/>
      <c r="D115" s="323">
        <v>3257.5</v>
      </c>
      <c r="E115" s="306">
        <v>3260.1</v>
      </c>
      <c r="F115" s="306">
        <v>3350.7</v>
      </c>
      <c r="G115" s="323">
        <v>3077.9</v>
      </c>
      <c r="H115" s="323">
        <v>3045.7</v>
      </c>
      <c r="I115" s="323">
        <v>2835</v>
      </c>
      <c r="J115" s="323">
        <v>3210.5</v>
      </c>
      <c r="K115" s="323">
        <v>3672.2</v>
      </c>
      <c r="L115" s="323">
        <v>3819</v>
      </c>
      <c r="M115" s="306">
        <v>4119.7</v>
      </c>
      <c r="N115" s="306">
        <v>3007.2</v>
      </c>
      <c r="O115" s="306">
        <v>2833.4</v>
      </c>
      <c r="P115" s="70">
        <f>SUM(D115:O115)</f>
        <v>39488.899999999994</v>
      </c>
    </row>
    <row r="116" spans="1:94" ht="16.8" x14ac:dyDescent="0.4">
      <c r="A116" s="92">
        <f>A115+1</f>
        <v>6</v>
      </c>
      <c r="B116" s="330" t="s">
        <v>258</v>
      </c>
      <c r="C116" s="131"/>
      <c r="D116" s="331">
        <v>2084.9</v>
      </c>
      <c r="E116" s="331">
        <v>2231.6999999999998</v>
      </c>
      <c r="F116" s="331">
        <v>942.1</v>
      </c>
      <c r="G116" s="331">
        <v>393.2</v>
      </c>
      <c r="H116" s="331">
        <v>1406.7</v>
      </c>
      <c r="I116" s="331">
        <v>1336.7</v>
      </c>
      <c r="J116" s="331">
        <v>916.4</v>
      </c>
      <c r="K116" s="331">
        <v>956.6</v>
      </c>
      <c r="L116" s="331">
        <v>1050.5999999999999</v>
      </c>
      <c r="M116" s="331">
        <v>2107.6999999999998</v>
      </c>
      <c r="N116" s="331">
        <v>2190.4</v>
      </c>
      <c r="O116" s="331">
        <v>1808.3</v>
      </c>
      <c r="P116" s="136">
        <f>SUM(D116:O116)</f>
        <v>17425.300000000003</v>
      </c>
    </row>
    <row r="117" spans="1:94" x14ac:dyDescent="0.25">
      <c r="A117" s="92"/>
      <c r="B117" s="330"/>
      <c r="C117" s="131"/>
      <c r="D117" s="103">
        <f t="shared" ref="D117:O117" si="15">SUM(D113:D116)</f>
        <v>13000.199999999999</v>
      </c>
      <c r="E117" s="103">
        <f t="shared" si="15"/>
        <v>11999.900000000001</v>
      </c>
      <c r="F117" s="103">
        <f t="shared" si="15"/>
        <v>11000</v>
      </c>
      <c r="G117" s="103">
        <f t="shared" si="15"/>
        <v>9999.9000000000015</v>
      </c>
      <c r="H117" s="103">
        <f t="shared" si="15"/>
        <v>9000.2999999999993</v>
      </c>
      <c r="I117" s="103">
        <f t="shared" si="15"/>
        <v>7999.9</v>
      </c>
      <c r="J117" s="103">
        <f t="shared" si="15"/>
        <v>7999.9</v>
      </c>
      <c r="K117" s="103">
        <f t="shared" si="15"/>
        <v>9000.1999999999989</v>
      </c>
      <c r="L117" s="103">
        <f t="shared" si="15"/>
        <v>9000.2000000000007</v>
      </c>
      <c r="M117" s="103">
        <f t="shared" si="15"/>
        <v>10999.900000000001</v>
      </c>
      <c r="N117" s="103">
        <f t="shared" si="15"/>
        <v>10999.999999999998</v>
      </c>
      <c r="O117" s="103">
        <f t="shared" si="15"/>
        <v>11000.099999999999</v>
      </c>
      <c r="P117" s="70">
        <f>SUM(D117:O117)</f>
        <v>122000.5</v>
      </c>
    </row>
    <row r="118" spans="1:94" x14ac:dyDescent="0.25">
      <c r="A118" s="92">
        <f>A116+1</f>
        <v>7</v>
      </c>
      <c r="B118" s="51" t="s">
        <v>244</v>
      </c>
      <c r="C118" s="141" t="s">
        <v>363</v>
      </c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70"/>
    </row>
    <row r="119" spans="1:94" x14ac:dyDescent="0.25">
      <c r="A119" s="92">
        <f>A118+1</f>
        <v>8</v>
      </c>
      <c r="B119" s="51" t="str">
        <f>B113</f>
        <v xml:space="preserve">    First 50 Mcf</v>
      </c>
      <c r="C119" s="141"/>
      <c r="D119" s="333">
        <f>'D pg 1'!D36</f>
        <v>150</v>
      </c>
      <c r="E119" s="333">
        <f>'D pg 1'!E36</f>
        <v>150</v>
      </c>
      <c r="F119" s="333">
        <f>'D pg 1'!F36</f>
        <v>150</v>
      </c>
      <c r="G119" s="333">
        <f>'D pg 1'!G36</f>
        <v>150</v>
      </c>
      <c r="H119" s="333">
        <f>'D pg 1'!H36</f>
        <v>150</v>
      </c>
      <c r="I119" s="333">
        <f>'D pg 1'!I36</f>
        <v>150</v>
      </c>
      <c r="J119" s="333">
        <f>'D pg 1'!J36</f>
        <v>150</v>
      </c>
      <c r="K119" s="333">
        <f>'D pg 1'!K36</f>
        <v>150</v>
      </c>
      <c r="L119" s="333">
        <f>'D pg 1'!L36</f>
        <v>150</v>
      </c>
      <c r="M119" s="333">
        <f>'D pg 1'!M36</f>
        <v>150</v>
      </c>
      <c r="N119" s="333">
        <f>'D pg 1'!N36</f>
        <v>150</v>
      </c>
      <c r="O119" s="333">
        <f>'D pg 1'!O36</f>
        <v>150</v>
      </c>
      <c r="P119" s="70">
        <f>SUM(D119:O119)</f>
        <v>1800</v>
      </c>
    </row>
    <row r="120" spans="1:94" x14ac:dyDescent="0.25">
      <c r="A120" s="92">
        <f>A119+1</f>
        <v>9</v>
      </c>
      <c r="B120" s="51" t="str">
        <f>B114</f>
        <v xml:space="preserve">    Next 350 Mcf</v>
      </c>
      <c r="C120" s="141"/>
      <c r="D120" s="333">
        <f>'D pg 1'!D37</f>
        <v>1050</v>
      </c>
      <c r="E120" s="333">
        <f>'D pg 1'!E37</f>
        <v>1050</v>
      </c>
      <c r="F120" s="333">
        <f>'D pg 1'!F37</f>
        <v>1050</v>
      </c>
      <c r="G120" s="333">
        <f>'D pg 1'!G37</f>
        <v>1050</v>
      </c>
      <c r="H120" s="333">
        <f>'D pg 1'!H37</f>
        <v>1050</v>
      </c>
      <c r="I120" s="333">
        <f>'D pg 1'!I37</f>
        <v>1050</v>
      </c>
      <c r="J120" s="333">
        <f>'D pg 1'!J37</f>
        <v>1050</v>
      </c>
      <c r="K120" s="333">
        <f>'D pg 1'!K37</f>
        <v>1050</v>
      </c>
      <c r="L120" s="333">
        <f>'D pg 1'!L37</f>
        <v>1050</v>
      </c>
      <c r="M120" s="333">
        <f>'D pg 1'!M37</f>
        <v>1050</v>
      </c>
      <c r="N120" s="333">
        <f>'D pg 1'!N37</f>
        <v>1050</v>
      </c>
      <c r="O120" s="333">
        <f>'D pg 1'!O37</f>
        <v>1050</v>
      </c>
      <c r="P120" s="70">
        <f>SUM(D120:O120)</f>
        <v>12600</v>
      </c>
    </row>
    <row r="121" spans="1:94" x14ac:dyDescent="0.25">
      <c r="A121" s="92">
        <f>A120+1</f>
        <v>10</v>
      </c>
      <c r="B121" s="51" t="str">
        <f>B115</f>
        <v xml:space="preserve">    Next 600 Mcf</v>
      </c>
      <c r="C121" s="141"/>
      <c r="D121" s="333">
        <f>'D pg 1'!D38</f>
        <v>1800</v>
      </c>
      <c r="E121" s="333">
        <f>'D pg 1'!E38</f>
        <v>1800</v>
      </c>
      <c r="F121" s="333">
        <f>'D pg 1'!F38</f>
        <v>1700</v>
      </c>
      <c r="G121" s="333">
        <f>'D pg 1'!G38</f>
        <v>1600</v>
      </c>
      <c r="H121" s="333">
        <f>'D pg 1'!H38</f>
        <v>1600</v>
      </c>
      <c r="I121" s="333">
        <f>'D pg 1'!I38</f>
        <v>1550</v>
      </c>
      <c r="J121" s="333">
        <f>'D pg 1'!J38</f>
        <v>1550</v>
      </c>
      <c r="K121" s="333">
        <f>'D pg 1'!K38</f>
        <v>1550</v>
      </c>
      <c r="L121" s="333">
        <f>'D pg 1'!L38</f>
        <v>1550</v>
      </c>
      <c r="M121" s="333">
        <f>'D pg 1'!M38</f>
        <v>1650</v>
      </c>
      <c r="N121" s="333">
        <f>'D pg 1'!N38</f>
        <v>1700</v>
      </c>
      <c r="O121" s="333">
        <f>'D pg 1'!O38</f>
        <v>1800</v>
      </c>
      <c r="P121" s="70">
        <f>SUM(D121:O121)</f>
        <v>19850</v>
      </c>
    </row>
    <row r="122" spans="1:94" x14ac:dyDescent="0.25">
      <c r="A122" s="92">
        <f>A121+1</f>
        <v>11</v>
      </c>
      <c r="B122" s="51" t="str">
        <f>B116</f>
        <v xml:space="preserve">    Over 1,000 Mcf</v>
      </c>
      <c r="C122" s="141"/>
      <c r="D122" s="334">
        <f>'D pg 1'!D39</f>
        <v>17000</v>
      </c>
      <c r="E122" s="334">
        <f>'D pg 1'!E39</f>
        <v>17000</v>
      </c>
      <c r="F122" s="334">
        <f>'D pg 1'!F39</f>
        <v>17000</v>
      </c>
      <c r="G122" s="334">
        <f>'D pg 1'!G39</f>
        <v>17000</v>
      </c>
      <c r="H122" s="334">
        <f>'D pg 1'!H39</f>
        <v>17000</v>
      </c>
      <c r="I122" s="334">
        <f>'D pg 1'!I39</f>
        <v>17000</v>
      </c>
      <c r="J122" s="334">
        <f>'D pg 1'!J39</f>
        <v>17000</v>
      </c>
      <c r="K122" s="334">
        <f>'D pg 1'!K39</f>
        <v>17000</v>
      </c>
      <c r="L122" s="334">
        <f>'D pg 1'!L39</f>
        <v>17000</v>
      </c>
      <c r="M122" s="334">
        <f>'D pg 1'!M39</f>
        <v>17000</v>
      </c>
      <c r="N122" s="334">
        <f>'D pg 1'!N39</f>
        <v>17000</v>
      </c>
      <c r="O122" s="334">
        <f>'D pg 1'!O39</f>
        <v>17000</v>
      </c>
      <c r="P122" s="136">
        <f>SUM(D122:O122)</f>
        <v>204000</v>
      </c>
    </row>
    <row r="123" spans="1:94" x14ac:dyDescent="0.25">
      <c r="A123" s="92"/>
      <c r="B123" s="51"/>
      <c r="C123" s="141"/>
      <c r="D123" s="70">
        <f t="shared" ref="D123:O123" si="16">SUM(D119:D122)</f>
        <v>20000</v>
      </c>
      <c r="E123" s="70">
        <f t="shared" si="16"/>
        <v>20000</v>
      </c>
      <c r="F123" s="70">
        <f t="shared" si="16"/>
        <v>19900</v>
      </c>
      <c r="G123" s="70">
        <f t="shared" si="16"/>
        <v>19800</v>
      </c>
      <c r="H123" s="70">
        <f t="shared" si="16"/>
        <v>19800</v>
      </c>
      <c r="I123" s="70">
        <f t="shared" si="16"/>
        <v>19750</v>
      </c>
      <c r="J123" s="70">
        <f t="shared" si="16"/>
        <v>19750</v>
      </c>
      <c r="K123" s="70">
        <f t="shared" si="16"/>
        <v>19750</v>
      </c>
      <c r="L123" s="70">
        <f t="shared" si="16"/>
        <v>19750</v>
      </c>
      <c r="M123" s="70">
        <f t="shared" si="16"/>
        <v>19850</v>
      </c>
      <c r="N123" s="70">
        <f t="shared" si="16"/>
        <v>19900</v>
      </c>
      <c r="O123" s="70">
        <f t="shared" si="16"/>
        <v>20000</v>
      </c>
      <c r="P123" s="70">
        <f>SUM(D123:O123)</f>
        <v>238250</v>
      </c>
    </row>
    <row r="124" spans="1:94" s="101" customFormat="1" ht="15.6" x14ac:dyDescent="0.3">
      <c r="A124" s="92">
        <f>A122+1</f>
        <v>12</v>
      </c>
      <c r="B124" s="51" t="s">
        <v>263</v>
      </c>
      <c r="C124" s="106"/>
      <c r="D124" s="103"/>
      <c r="E124" s="103"/>
      <c r="F124" s="103"/>
      <c r="G124" s="70"/>
      <c r="H124" s="70"/>
      <c r="I124" s="70"/>
      <c r="J124" s="70"/>
      <c r="K124" s="70"/>
      <c r="L124" s="70"/>
      <c r="M124" s="103"/>
      <c r="N124" s="103"/>
      <c r="O124" s="103"/>
      <c r="P124" s="104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</row>
    <row r="125" spans="1:94" ht="15.6" x14ac:dyDescent="0.3">
      <c r="A125" s="92">
        <f>A124+1</f>
        <v>13</v>
      </c>
      <c r="B125" s="51" t="str">
        <f>B113</f>
        <v xml:space="preserve">    First 50 Mcf</v>
      </c>
      <c r="C125" s="129"/>
      <c r="D125" s="163">
        <f t="shared" ref="D125:O125" si="17">D113+D119</f>
        <v>1708.9</v>
      </c>
      <c r="E125" s="163">
        <f t="shared" si="17"/>
        <v>1701.3</v>
      </c>
      <c r="F125" s="163">
        <f t="shared" si="17"/>
        <v>1750.8</v>
      </c>
      <c r="G125" s="163">
        <f t="shared" si="17"/>
        <v>1513.3</v>
      </c>
      <c r="H125" s="163">
        <f t="shared" si="17"/>
        <v>1170.7</v>
      </c>
      <c r="I125" s="163">
        <f t="shared" si="17"/>
        <v>916.7</v>
      </c>
      <c r="J125" s="163">
        <f t="shared" si="17"/>
        <v>785.3</v>
      </c>
      <c r="K125" s="163">
        <f t="shared" si="17"/>
        <v>882.2</v>
      </c>
      <c r="L125" s="163">
        <f t="shared" si="17"/>
        <v>940.1</v>
      </c>
      <c r="M125" s="163">
        <f t="shared" si="17"/>
        <v>1050</v>
      </c>
      <c r="N125" s="163">
        <f t="shared" si="17"/>
        <v>1434.4</v>
      </c>
      <c r="O125" s="163">
        <f t="shared" si="17"/>
        <v>1636.5</v>
      </c>
      <c r="P125" s="103">
        <f>SUM(D125:O125)</f>
        <v>15490.2</v>
      </c>
      <c r="S125" s="133"/>
    </row>
    <row r="126" spans="1:94" ht="15.6" x14ac:dyDescent="0.3">
      <c r="A126" s="92">
        <f>A125+1</f>
        <v>14</v>
      </c>
      <c r="B126" s="51" t="str">
        <f>B114</f>
        <v xml:space="preserve">    Next 350 Mcf</v>
      </c>
      <c r="C126" s="129"/>
      <c r="D126" s="163">
        <f t="shared" ref="D126:O126" si="18">D114+D120</f>
        <v>7148.9</v>
      </c>
      <c r="E126" s="163">
        <f t="shared" si="18"/>
        <v>6006.8</v>
      </c>
      <c r="F126" s="163">
        <f t="shared" si="18"/>
        <v>6156.4</v>
      </c>
      <c r="G126" s="163">
        <f t="shared" si="18"/>
        <v>6215.5</v>
      </c>
      <c r="H126" s="163">
        <f t="shared" si="18"/>
        <v>4577.2</v>
      </c>
      <c r="I126" s="163">
        <f t="shared" si="18"/>
        <v>4111.5</v>
      </c>
      <c r="J126" s="163">
        <f t="shared" si="18"/>
        <v>4287.7</v>
      </c>
      <c r="K126" s="163">
        <f t="shared" si="18"/>
        <v>4689.2</v>
      </c>
      <c r="L126" s="163">
        <f t="shared" si="18"/>
        <v>4390.5</v>
      </c>
      <c r="M126" s="163">
        <f t="shared" si="18"/>
        <v>4922.5</v>
      </c>
      <c r="N126" s="163">
        <f t="shared" si="18"/>
        <v>5568</v>
      </c>
      <c r="O126" s="163">
        <f t="shared" si="18"/>
        <v>5921.9</v>
      </c>
      <c r="P126" s="103">
        <f>SUM(D126:O126)</f>
        <v>63996.1</v>
      </c>
      <c r="S126" s="133"/>
    </row>
    <row r="127" spans="1:94" ht="15.6" x14ac:dyDescent="0.3">
      <c r="A127" s="92">
        <f>A126+1</f>
        <v>15</v>
      </c>
      <c r="B127" s="51" t="str">
        <f>B115</f>
        <v xml:space="preserve">    Next 600 Mcf</v>
      </c>
      <c r="C127" s="129"/>
      <c r="D127" s="163">
        <f t="shared" ref="D127:O127" si="19">D115+D121</f>
        <v>5057.5</v>
      </c>
      <c r="E127" s="163">
        <f t="shared" si="19"/>
        <v>5060.1000000000004</v>
      </c>
      <c r="F127" s="163">
        <f t="shared" si="19"/>
        <v>5050.7</v>
      </c>
      <c r="G127" s="163">
        <f t="shared" si="19"/>
        <v>4677.8999999999996</v>
      </c>
      <c r="H127" s="163">
        <f t="shared" si="19"/>
        <v>4645.7</v>
      </c>
      <c r="I127" s="163">
        <f t="shared" si="19"/>
        <v>4385</v>
      </c>
      <c r="J127" s="163">
        <f t="shared" si="19"/>
        <v>4760.5</v>
      </c>
      <c r="K127" s="163">
        <f t="shared" si="19"/>
        <v>5222.2</v>
      </c>
      <c r="L127" s="163">
        <f t="shared" si="19"/>
        <v>5369</v>
      </c>
      <c r="M127" s="163">
        <f t="shared" si="19"/>
        <v>5769.7</v>
      </c>
      <c r="N127" s="163">
        <f t="shared" si="19"/>
        <v>4707.2</v>
      </c>
      <c r="O127" s="163">
        <f t="shared" si="19"/>
        <v>4633.3999999999996</v>
      </c>
      <c r="P127" s="103">
        <f>SUM(D127:O127)</f>
        <v>59338.899999999987</v>
      </c>
      <c r="S127" s="133"/>
    </row>
    <row r="128" spans="1:94" ht="15.6" x14ac:dyDescent="0.3">
      <c r="A128" s="92">
        <f>A127+1</f>
        <v>16</v>
      </c>
      <c r="B128" s="51" t="str">
        <f>B116</f>
        <v xml:space="preserve">    Over 1,000 Mcf</v>
      </c>
      <c r="C128" s="129"/>
      <c r="D128" s="138">
        <f t="shared" ref="D128:O128" si="20">D116+D122</f>
        <v>19084.900000000001</v>
      </c>
      <c r="E128" s="138">
        <f t="shared" si="20"/>
        <v>19231.7</v>
      </c>
      <c r="F128" s="138">
        <f t="shared" si="20"/>
        <v>17942.099999999999</v>
      </c>
      <c r="G128" s="138">
        <f t="shared" si="20"/>
        <v>17393.2</v>
      </c>
      <c r="H128" s="138">
        <f t="shared" si="20"/>
        <v>18406.7</v>
      </c>
      <c r="I128" s="138">
        <f t="shared" si="20"/>
        <v>18336.7</v>
      </c>
      <c r="J128" s="138">
        <f t="shared" si="20"/>
        <v>17916.400000000001</v>
      </c>
      <c r="K128" s="138">
        <f t="shared" si="20"/>
        <v>17956.599999999999</v>
      </c>
      <c r="L128" s="138">
        <f t="shared" si="20"/>
        <v>18050.599999999999</v>
      </c>
      <c r="M128" s="138">
        <f t="shared" si="20"/>
        <v>19107.7</v>
      </c>
      <c r="N128" s="138">
        <f t="shared" si="20"/>
        <v>19190.400000000001</v>
      </c>
      <c r="O128" s="138">
        <f t="shared" si="20"/>
        <v>18808.3</v>
      </c>
      <c r="P128" s="136">
        <f>SUM(D128:O128)</f>
        <v>221425.30000000002</v>
      </c>
      <c r="S128" s="133"/>
    </row>
    <row r="129" spans="1:19" ht="15.6" x14ac:dyDescent="0.3">
      <c r="A129" s="92">
        <f>A128+1</f>
        <v>17</v>
      </c>
      <c r="B129" s="209" t="s">
        <v>361</v>
      </c>
      <c r="C129" s="129"/>
      <c r="D129" s="70">
        <f t="shared" ref="D129:O129" si="21">D117+D123</f>
        <v>33000.199999999997</v>
      </c>
      <c r="E129" s="70">
        <f t="shared" si="21"/>
        <v>31999.9</v>
      </c>
      <c r="F129" s="70">
        <f t="shared" si="21"/>
        <v>30900</v>
      </c>
      <c r="G129" s="70">
        <f t="shared" si="21"/>
        <v>29799.9</v>
      </c>
      <c r="H129" s="70">
        <f t="shared" si="21"/>
        <v>28800.3</v>
      </c>
      <c r="I129" s="70">
        <f t="shared" si="21"/>
        <v>27749.9</v>
      </c>
      <c r="J129" s="70">
        <f t="shared" si="21"/>
        <v>27749.9</v>
      </c>
      <c r="K129" s="70">
        <f t="shared" si="21"/>
        <v>28750.199999999997</v>
      </c>
      <c r="L129" s="70">
        <f t="shared" si="21"/>
        <v>28750.2</v>
      </c>
      <c r="M129" s="70">
        <f t="shared" si="21"/>
        <v>30849.9</v>
      </c>
      <c r="N129" s="70">
        <f t="shared" si="21"/>
        <v>30900</v>
      </c>
      <c r="O129" s="70">
        <f t="shared" si="21"/>
        <v>31000.1</v>
      </c>
      <c r="P129" s="70">
        <f>SUM(D129:O129)</f>
        <v>360250.5</v>
      </c>
      <c r="S129" s="133"/>
    </row>
    <row r="130" spans="1:19" ht="15.6" x14ac:dyDescent="0.3">
      <c r="A130" s="122"/>
      <c r="B130" s="133"/>
      <c r="C130" s="129"/>
      <c r="D130" s="170"/>
      <c r="E130" s="170"/>
      <c r="F130" s="170"/>
      <c r="G130" s="170"/>
      <c r="H130" s="170"/>
      <c r="I130" s="170"/>
      <c r="J130" s="171"/>
      <c r="K130" s="171"/>
      <c r="L130" s="171"/>
      <c r="M130" s="171"/>
      <c r="N130" s="171"/>
      <c r="O130" s="171"/>
      <c r="P130" s="134"/>
      <c r="S130" s="133"/>
    </row>
    <row r="131" spans="1:19" ht="15.6" x14ac:dyDescent="0.3">
      <c r="A131" s="92">
        <f>A129+1</f>
        <v>18</v>
      </c>
      <c r="B131" s="50" t="s">
        <v>283</v>
      </c>
      <c r="C131" s="131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51"/>
      <c r="S131" s="133"/>
    </row>
    <row r="132" spans="1:19" ht="15.6" x14ac:dyDescent="0.3">
      <c r="A132" s="92">
        <f>A131+1</f>
        <v>19</v>
      </c>
      <c r="B132" s="51" t="s">
        <v>360</v>
      </c>
      <c r="C132" s="131"/>
      <c r="D132" s="323"/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51"/>
      <c r="S132" s="133"/>
    </row>
    <row r="133" spans="1:19" ht="15.6" x14ac:dyDescent="0.3">
      <c r="A133" s="92">
        <f>A132+1</f>
        <v>20</v>
      </c>
      <c r="B133" s="330" t="s">
        <v>269</v>
      </c>
      <c r="C133" s="131"/>
      <c r="D133" s="323">
        <v>0</v>
      </c>
      <c r="E133" s="323">
        <v>0</v>
      </c>
      <c r="F133" s="323">
        <v>0</v>
      </c>
      <c r="G133" s="323">
        <v>0</v>
      </c>
      <c r="H133" s="323">
        <v>0</v>
      </c>
      <c r="I133" s="323">
        <v>0</v>
      </c>
      <c r="J133" s="323">
        <v>0</v>
      </c>
      <c r="K133" s="323">
        <v>0</v>
      </c>
      <c r="L133" s="323">
        <v>0</v>
      </c>
      <c r="M133" s="323">
        <v>0</v>
      </c>
      <c r="N133" s="323">
        <v>0</v>
      </c>
      <c r="O133" s="323">
        <v>0</v>
      </c>
      <c r="P133" s="70">
        <f>SUM(D133:O133)</f>
        <v>0</v>
      </c>
      <c r="S133" s="133"/>
    </row>
    <row r="134" spans="1:19" ht="15.6" x14ac:dyDescent="0.3">
      <c r="A134" s="92">
        <f>A133+1</f>
        <v>21</v>
      </c>
      <c r="B134" s="330" t="s">
        <v>650</v>
      </c>
      <c r="C134" s="131"/>
      <c r="D134" s="323">
        <v>0</v>
      </c>
      <c r="E134" s="323">
        <v>0</v>
      </c>
      <c r="F134" s="323">
        <v>0</v>
      </c>
      <c r="G134" s="323">
        <v>0</v>
      </c>
      <c r="H134" s="323">
        <v>0</v>
      </c>
      <c r="I134" s="323">
        <v>0</v>
      </c>
      <c r="J134" s="323">
        <v>0</v>
      </c>
      <c r="K134" s="323">
        <v>0</v>
      </c>
      <c r="L134" s="323">
        <v>0</v>
      </c>
      <c r="M134" s="323">
        <v>0</v>
      </c>
      <c r="N134" s="323">
        <v>0</v>
      </c>
      <c r="O134" s="323">
        <v>0</v>
      </c>
      <c r="P134" s="70">
        <f>SUM(D134:O134)</f>
        <v>0</v>
      </c>
      <c r="S134" s="133"/>
    </row>
    <row r="135" spans="1:19" ht="15.6" x14ac:dyDescent="0.3">
      <c r="A135" s="92">
        <f t="shared" ref="A135:A136" si="22">A134+1</f>
        <v>22</v>
      </c>
      <c r="B135" s="330" t="s">
        <v>651</v>
      </c>
      <c r="C135" s="131"/>
      <c r="D135" s="332">
        <v>0</v>
      </c>
      <c r="E135" s="332">
        <v>0</v>
      </c>
      <c r="F135" s="332">
        <v>0</v>
      </c>
      <c r="G135" s="332">
        <v>0</v>
      </c>
      <c r="H135" s="332">
        <v>0</v>
      </c>
      <c r="I135" s="332">
        <v>0</v>
      </c>
      <c r="J135" s="332">
        <v>0</v>
      </c>
      <c r="K135" s="332">
        <v>0</v>
      </c>
      <c r="L135" s="332">
        <v>0</v>
      </c>
      <c r="M135" s="332">
        <v>0</v>
      </c>
      <c r="N135" s="332">
        <v>0</v>
      </c>
      <c r="O135" s="332">
        <v>0</v>
      </c>
      <c r="P135" s="136">
        <f>SUM(D135:O135)</f>
        <v>0</v>
      </c>
      <c r="S135" s="133"/>
    </row>
    <row r="136" spans="1:19" ht="15.6" x14ac:dyDescent="0.3">
      <c r="A136" s="92">
        <f t="shared" si="22"/>
        <v>23</v>
      </c>
      <c r="B136" s="51" t="s">
        <v>220</v>
      </c>
      <c r="C136" s="131"/>
      <c r="D136" s="70">
        <f t="shared" ref="D136:N136" si="23">SUM(D133:D135)</f>
        <v>0</v>
      </c>
      <c r="E136" s="70">
        <f t="shared" si="23"/>
        <v>0</v>
      </c>
      <c r="F136" s="70">
        <f t="shared" si="23"/>
        <v>0</v>
      </c>
      <c r="G136" s="70">
        <f t="shared" si="23"/>
        <v>0</v>
      </c>
      <c r="H136" s="70">
        <f t="shared" si="23"/>
        <v>0</v>
      </c>
      <c r="I136" s="70">
        <f t="shared" si="23"/>
        <v>0</v>
      </c>
      <c r="J136" s="70">
        <f t="shared" si="23"/>
        <v>0</v>
      </c>
      <c r="K136" s="70">
        <f t="shared" si="23"/>
        <v>0</v>
      </c>
      <c r="L136" s="70">
        <f t="shared" si="23"/>
        <v>0</v>
      </c>
      <c r="M136" s="70">
        <f t="shared" si="23"/>
        <v>0</v>
      </c>
      <c r="N136" s="70">
        <f t="shared" si="23"/>
        <v>0</v>
      </c>
      <c r="O136" s="70">
        <f>SUM(O133:O135)</f>
        <v>0</v>
      </c>
      <c r="P136" s="70">
        <f>SUM(D136:O136)</f>
        <v>0</v>
      </c>
      <c r="S136" s="133"/>
    </row>
    <row r="137" spans="1:19" ht="15.6" x14ac:dyDescent="0.3">
      <c r="A137" s="92"/>
      <c r="B137" s="330"/>
      <c r="C137" s="131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S137" s="133"/>
    </row>
    <row r="138" spans="1:19" ht="15.6" x14ac:dyDescent="0.3">
      <c r="A138" s="92">
        <f>A136+1</f>
        <v>24</v>
      </c>
      <c r="B138" s="50" t="s">
        <v>265</v>
      </c>
      <c r="C138" s="129"/>
      <c r="D138" s="170"/>
      <c r="E138" s="170"/>
      <c r="F138" s="170"/>
      <c r="G138" s="170"/>
      <c r="H138" s="170"/>
      <c r="I138" s="170"/>
      <c r="J138" s="171"/>
      <c r="K138" s="171"/>
      <c r="L138" s="171"/>
      <c r="M138" s="171"/>
      <c r="N138" s="171"/>
      <c r="O138" s="171"/>
      <c r="P138" s="134"/>
      <c r="S138" s="133"/>
    </row>
    <row r="139" spans="1:19" ht="15.6" x14ac:dyDescent="0.3">
      <c r="A139" s="92">
        <f>A138+1</f>
        <v>25</v>
      </c>
      <c r="B139" s="51" t="s">
        <v>360</v>
      </c>
      <c r="C139" s="131"/>
      <c r="D139" s="323">
        <v>3136.7</v>
      </c>
      <c r="E139" s="323">
        <v>2307.1999999999998</v>
      </c>
      <c r="F139" s="323">
        <v>1098.5999999999999</v>
      </c>
      <c r="G139" s="323">
        <v>641.70000000000005</v>
      </c>
      <c r="H139" s="323">
        <v>362.9</v>
      </c>
      <c r="I139" s="323">
        <v>221.4</v>
      </c>
      <c r="J139" s="323">
        <v>245</v>
      </c>
      <c r="K139" s="323">
        <v>196.3</v>
      </c>
      <c r="L139" s="323">
        <v>196.6</v>
      </c>
      <c r="M139" s="323">
        <v>705.2</v>
      </c>
      <c r="N139" s="323">
        <v>1014.3</v>
      </c>
      <c r="O139" s="323">
        <v>1194.8</v>
      </c>
      <c r="P139" s="70">
        <f>SUM(D139:O139)</f>
        <v>11320.699999999999</v>
      </c>
      <c r="S139" s="133"/>
    </row>
    <row r="140" spans="1:19" ht="15.6" x14ac:dyDescent="0.3">
      <c r="A140" s="92">
        <f>A139+1</f>
        <v>26</v>
      </c>
      <c r="B140" s="51" t="s">
        <v>244</v>
      </c>
      <c r="C140" s="141" t="s">
        <v>363</v>
      </c>
      <c r="D140" s="332">
        <v>0</v>
      </c>
      <c r="E140" s="332">
        <v>0</v>
      </c>
      <c r="F140" s="332">
        <v>0</v>
      </c>
      <c r="G140" s="332">
        <v>0</v>
      </c>
      <c r="H140" s="332">
        <v>0</v>
      </c>
      <c r="I140" s="332">
        <v>0</v>
      </c>
      <c r="J140" s="332">
        <v>0</v>
      </c>
      <c r="K140" s="332">
        <v>0</v>
      </c>
      <c r="L140" s="332">
        <v>0</v>
      </c>
      <c r="M140" s="332">
        <v>0</v>
      </c>
      <c r="N140" s="332">
        <v>0</v>
      </c>
      <c r="O140" s="332">
        <v>0</v>
      </c>
      <c r="P140" s="136">
        <f>SUM(D140:O140)</f>
        <v>0</v>
      </c>
      <c r="S140" s="133"/>
    </row>
    <row r="141" spans="1:19" ht="15.6" x14ac:dyDescent="0.3">
      <c r="A141" s="92">
        <f>A140+1</f>
        <v>27</v>
      </c>
      <c r="B141" s="51" t="s">
        <v>263</v>
      </c>
      <c r="C141" s="106"/>
      <c r="D141" s="70">
        <f t="shared" ref="D141:O141" si="24">SUM(D139:D140)</f>
        <v>3136.7</v>
      </c>
      <c r="E141" s="70">
        <f t="shared" si="24"/>
        <v>2307.1999999999998</v>
      </c>
      <c r="F141" s="70">
        <f t="shared" si="24"/>
        <v>1098.5999999999999</v>
      </c>
      <c r="G141" s="70">
        <f t="shared" si="24"/>
        <v>641.70000000000005</v>
      </c>
      <c r="H141" s="70">
        <f t="shared" si="24"/>
        <v>362.9</v>
      </c>
      <c r="I141" s="70">
        <f t="shared" si="24"/>
        <v>221.4</v>
      </c>
      <c r="J141" s="70">
        <f t="shared" si="24"/>
        <v>245</v>
      </c>
      <c r="K141" s="70">
        <f t="shared" si="24"/>
        <v>196.3</v>
      </c>
      <c r="L141" s="70">
        <f t="shared" si="24"/>
        <v>196.6</v>
      </c>
      <c r="M141" s="70">
        <f t="shared" si="24"/>
        <v>705.2</v>
      </c>
      <c r="N141" s="70">
        <f t="shared" si="24"/>
        <v>1014.3</v>
      </c>
      <c r="O141" s="70">
        <f t="shared" si="24"/>
        <v>1194.8</v>
      </c>
      <c r="P141" s="70">
        <f>SUM(D141:O141)</f>
        <v>11320.699999999999</v>
      </c>
      <c r="S141" s="133"/>
    </row>
    <row r="142" spans="1:19" ht="15.6" x14ac:dyDescent="0.3">
      <c r="A142" s="92"/>
      <c r="B142" s="51"/>
      <c r="C142" s="106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S142" s="133"/>
    </row>
    <row r="143" spans="1:19" ht="15.6" x14ac:dyDescent="0.3">
      <c r="A143" s="984" t="str">
        <f>CONAME</f>
        <v>Columbia Gas of Kentucky, Inc.</v>
      </c>
      <c r="B143" s="984"/>
      <c r="C143" s="984"/>
      <c r="D143" s="984"/>
      <c r="E143" s="984"/>
      <c r="F143" s="984"/>
      <c r="G143" s="984"/>
      <c r="H143" s="984"/>
      <c r="I143" s="984"/>
      <c r="J143" s="984"/>
      <c r="K143" s="984"/>
      <c r="L143" s="984"/>
      <c r="M143" s="984"/>
      <c r="N143" s="984"/>
      <c r="O143" s="984"/>
      <c r="P143" s="984"/>
      <c r="S143" s="133"/>
    </row>
    <row r="144" spans="1:19" ht="15.6" x14ac:dyDescent="0.3">
      <c r="A144" s="984" t="s">
        <v>197</v>
      </c>
      <c r="B144" s="984"/>
      <c r="C144" s="984"/>
      <c r="D144" s="984"/>
      <c r="E144" s="984"/>
      <c r="F144" s="984"/>
      <c r="G144" s="984"/>
      <c r="H144" s="984"/>
      <c r="I144" s="984"/>
      <c r="J144" s="984"/>
      <c r="K144" s="984"/>
      <c r="L144" s="984"/>
      <c r="M144" s="984"/>
      <c r="N144" s="984"/>
      <c r="O144" s="984"/>
      <c r="P144" s="984"/>
      <c r="S144" s="133"/>
    </row>
    <row r="145" spans="1:19" ht="15.6" x14ac:dyDescent="0.3">
      <c r="A145" s="983" t="str">
        <f>TYDESC</f>
        <v>For the 12 Months Ended December 31, 2017</v>
      </c>
      <c r="B145" s="983"/>
      <c r="C145" s="983"/>
      <c r="D145" s="983"/>
      <c r="E145" s="983"/>
      <c r="F145" s="983"/>
      <c r="G145" s="983"/>
      <c r="H145" s="983"/>
      <c r="I145" s="983"/>
      <c r="J145" s="983"/>
      <c r="K145" s="983"/>
      <c r="L145" s="983"/>
      <c r="M145" s="983"/>
      <c r="N145" s="983"/>
      <c r="O145" s="983"/>
      <c r="P145" s="983"/>
      <c r="S145" s="133"/>
    </row>
    <row r="146" spans="1:19" ht="15.6" x14ac:dyDescent="0.3">
      <c r="A146" s="122"/>
      <c r="B146" s="133"/>
      <c r="C146" s="129"/>
      <c r="D146" s="170"/>
      <c r="E146" s="170"/>
      <c r="F146" s="170"/>
      <c r="G146" s="170"/>
      <c r="H146" s="170"/>
      <c r="I146" s="170"/>
      <c r="J146" s="171"/>
      <c r="K146" s="171"/>
      <c r="L146" s="171"/>
      <c r="M146" s="171"/>
      <c r="N146" s="171"/>
      <c r="O146" s="171"/>
      <c r="P146" s="134"/>
      <c r="S146" s="133"/>
    </row>
    <row r="147" spans="1:19" ht="15.6" x14ac:dyDescent="0.3">
      <c r="A147" s="98" t="str">
        <f>$A$5</f>
        <v>Data: __ Base Period_X_Forecasted Period</v>
      </c>
      <c r="B147" s="51"/>
      <c r="C147" s="106"/>
      <c r="D147" s="106"/>
      <c r="E147" s="106"/>
      <c r="F147" s="106"/>
      <c r="G147" s="94"/>
      <c r="H147" s="94"/>
      <c r="I147" s="94"/>
      <c r="J147" s="94"/>
      <c r="K147" s="94"/>
      <c r="L147" s="94"/>
      <c r="M147" s="94"/>
      <c r="N147" s="94"/>
      <c r="O147" s="94"/>
      <c r="P147" s="324" t="str">
        <f>$P$5</f>
        <v>Workpaper WPM-C.2</v>
      </c>
      <c r="S147" s="133"/>
    </row>
    <row r="148" spans="1:19" ht="15.6" x14ac:dyDescent="0.3">
      <c r="A148" s="98" t="str">
        <f>$A$6</f>
        <v>Type of Filing: X Original _ Update _ Revised</v>
      </c>
      <c r="B148" s="51"/>
      <c r="C148" s="106"/>
      <c r="D148" s="106"/>
      <c r="E148" s="106"/>
      <c r="F148" s="106"/>
      <c r="G148" s="94"/>
      <c r="H148" s="94"/>
      <c r="I148" s="94"/>
      <c r="J148" s="94"/>
      <c r="K148" s="94"/>
      <c r="L148" s="94"/>
      <c r="M148" s="94"/>
      <c r="N148" s="94"/>
      <c r="O148" s="94"/>
      <c r="P148" s="325" t="s">
        <v>367</v>
      </c>
      <c r="S148" s="133"/>
    </row>
    <row r="149" spans="1:19" ht="15.6" x14ac:dyDescent="0.3">
      <c r="A149" s="98" t="str">
        <f>$A$7</f>
        <v>Work Paper Reference No(s):</v>
      </c>
      <c r="B149" s="51"/>
      <c r="C149" s="106"/>
      <c r="D149" s="106"/>
      <c r="E149" s="106"/>
      <c r="F149" s="106"/>
      <c r="G149" s="94"/>
      <c r="H149" s="94"/>
      <c r="I149" s="94"/>
      <c r="J149" s="94"/>
      <c r="K149" s="94"/>
      <c r="L149" s="94"/>
      <c r="M149" s="94"/>
      <c r="N149" s="94"/>
      <c r="O149" s="94"/>
      <c r="P149" s="325"/>
      <c r="S149" s="133"/>
    </row>
    <row r="150" spans="1:19" ht="15.6" x14ac:dyDescent="0.3">
      <c r="A150" s="130" t="str">
        <f>$A$8</f>
        <v>12 Months Forecasted</v>
      </c>
      <c r="B150" s="122"/>
      <c r="C150" s="106"/>
      <c r="D150" s="326"/>
      <c r="E150" s="106"/>
      <c r="F150" s="327"/>
      <c r="G150" s="328"/>
      <c r="H150" s="327"/>
      <c r="I150" s="329"/>
      <c r="J150" s="327"/>
      <c r="K150" s="327"/>
      <c r="L150" s="327"/>
      <c r="M150" s="327"/>
      <c r="N150" s="327"/>
      <c r="O150" s="327"/>
      <c r="P150" s="308"/>
      <c r="S150" s="133"/>
    </row>
    <row r="151" spans="1:19" ht="15.6" x14ac:dyDescent="0.3">
      <c r="A151" s="91"/>
      <c r="B151" s="122"/>
      <c r="C151" s="106"/>
      <c r="D151" s="326"/>
      <c r="E151" s="106"/>
      <c r="F151" s="327"/>
      <c r="G151" s="328"/>
      <c r="H151" s="327"/>
      <c r="I151" s="329"/>
      <c r="J151" s="327"/>
      <c r="K151" s="327"/>
      <c r="L151" s="327"/>
      <c r="M151" s="327"/>
      <c r="N151" s="327"/>
      <c r="O151" s="327"/>
      <c r="P151" s="308"/>
      <c r="S151" s="133"/>
    </row>
    <row r="152" spans="1:19" ht="15.6" x14ac:dyDescent="0.3">
      <c r="A152" s="122" t="s">
        <v>1</v>
      </c>
      <c r="B152" s="122"/>
      <c r="C152" s="106"/>
      <c r="D152" s="326"/>
      <c r="E152" s="106"/>
      <c r="F152" s="327"/>
      <c r="G152" s="328"/>
      <c r="H152" s="327"/>
      <c r="I152" s="329"/>
      <c r="J152" s="327"/>
      <c r="K152" s="327"/>
      <c r="L152" s="327"/>
      <c r="M152" s="327"/>
      <c r="N152" s="327"/>
      <c r="O152" s="327"/>
      <c r="P152" s="308"/>
      <c r="S152" s="133"/>
    </row>
    <row r="153" spans="1:19" ht="15.6" x14ac:dyDescent="0.3">
      <c r="A153" s="310" t="s">
        <v>3</v>
      </c>
      <c r="B153" s="310" t="s">
        <v>4</v>
      </c>
      <c r="C153" s="311" t="s">
        <v>186</v>
      </c>
      <c r="D153" s="312" t="str">
        <f>B!$D$11</f>
        <v>Jan-17</v>
      </c>
      <c r="E153" s="312" t="str">
        <f>B!$E$11</f>
        <v>Feb-17</v>
      </c>
      <c r="F153" s="312" t="str">
        <f>B!$F$11</f>
        <v>Mar-17</v>
      </c>
      <c r="G153" s="312" t="str">
        <f>B!$G$11</f>
        <v>Apr-17</v>
      </c>
      <c r="H153" s="312" t="str">
        <f>B!$H$11</f>
        <v>May-17</v>
      </c>
      <c r="I153" s="312" t="str">
        <f>B!$I$11</f>
        <v>Jun-17</v>
      </c>
      <c r="J153" s="312" t="str">
        <f>B!$J$11</f>
        <v>Jul-17</v>
      </c>
      <c r="K153" s="312" t="str">
        <f>B!$K$11</f>
        <v>Aug-17</v>
      </c>
      <c r="L153" s="312" t="str">
        <f>B!$L$11</f>
        <v>Sep-17</v>
      </c>
      <c r="M153" s="312" t="str">
        <f>B!$M$11</f>
        <v>Oct-17</v>
      </c>
      <c r="N153" s="312" t="str">
        <f>B!$N$11</f>
        <v>Nov-17</v>
      </c>
      <c r="O153" s="312" t="str">
        <f>B!$O$11</f>
        <v>Dec-17</v>
      </c>
      <c r="P153" s="216" t="s">
        <v>9</v>
      </c>
      <c r="S153" s="133"/>
    </row>
    <row r="154" spans="1:19" ht="15.6" x14ac:dyDescent="0.3">
      <c r="A154" s="122"/>
      <c r="B154" s="133" t="s">
        <v>42</v>
      </c>
      <c r="C154" s="129" t="s">
        <v>43</v>
      </c>
      <c r="D154" s="307" t="s">
        <v>45</v>
      </c>
      <c r="E154" s="307" t="s">
        <v>46</v>
      </c>
      <c r="F154" s="307" t="s">
        <v>49</v>
      </c>
      <c r="G154" s="307" t="s">
        <v>50</v>
      </c>
      <c r="H154" s="307" t="s">
        <v>51</v>
      </c>
      <c r="I154" s="307" t="s">
        <v>52</v>
      </c>
      <c r="J154" s="307" t="s">
        <v>53</v>
      </c>
      <c r="K154" s="134" t="s">
        <v>54</v>
      </c>
      <c r="L154" s="134" t="s">
        <v>55</v>
      </c>
      <c r="M154" s="134" t="s">
        <v>56</v>
      </c>
      <c r="N154" s="134" t="s">
        <v>57</v>
      </c>
      <c r="O154" s="134" t="s">
        <v>58</v>
      </c>
      <c r="P154" s="134" t="s">
        <v>59</v>
      </c>
      <c r="S154" s="133"/>
    </row>
    <row r="155" spans="1:19" ht="16.2" thickBot="1" x14ac:dyDescent="0.35">
      <c r="A155" s="122"/>
      <c r="B155" s="133"/>
      <c r="C155" s="129"/>
      <c r="D155" s="170"/>
      <c r="E155" s="170"/>
      <c r="F155" s="170"/>
      <c r="G155" s="170"/>
      <c r="H155" s="170"/>
      <c r="I155" s="170"/>
      <c r="J155" s="171"/>
      <c r="K155" s="171"/>
      <c r="L155" s="171"/>
      <c r="M155" s="171"/>
      <c r="N155" s="171"/>
      <c r="O155" s="171"/>
      <c r="P155" s="134"/>
      <c r="S155" s="133"/>
    </row>
    <row r="156" spans="1:19" ht="15.6" x14ac:dyDescent="0.3">
      <c r="A156" s="139">
        <v>1</v>
      </c>
      <c r="B156" s="123" t="s">
        <v>10</v>
      </c>
      <c r="C156" s="124"/>
      <c r="D156" s="124"/>
      <c r="E156" s="124"/>
      <c r="F156" s="124"/>
      <c r="G156" s="124"/>
      <c r="H156" s="124"/>
      <c r="I156" s="124"/>
      <c r="J156" s="124"/>
      <c r="K156" s="146"/>
      <c r="L156" s="146"/>
      <c r="M156" s="146"/>
      <c r="N156" s="146"/>
      <c r="O156" s="146"/>
      <c r="P156" s="140"/>
    </row>
    <row r="157" spans="1:19" x14ac:dyDescent="0.25">
      <c r="A157" s="127"/>
      <c r="B157" s="51"/>
      <c r="C157" s="86"/>
      <c r="D157" s="86"/>
      <c r="E157" s="86"/>
      <c r="F157" s="86"/>
      <c r="G157" s="86"/>
      <c r="H157" s="86"/>
      <c r="I157" s="86"/>
      <c r="J157" s="86"/>
      <c r="K157" s="94"/>
      <c r="L157" s="94"/>
      <c r="M157" s="94"/>
      <c r="N157" s="94"/>
      <c r="O157" s="94"/>
      <c r="P157" s="126"/>
    </row>
    <row r="158" spans="1:19" ht="15.6" x14ac:dyDescent="0.3">
      <c r="A158" s="127">
        <f>A156+1</f>
        <v>2</v>
      </c>
      <c r="B158" s="50" t="s">
        <v>11</v>
      </c>
      <c r="C158" s="86"/>
      <c r="D158" s="86"/>
      <c r="E158" s="86"/>
      <c r="F158" s="86"/>
      <c r="G158" s="86"/>
      <c r="H158" s="86"/>
      <c r="I158" s="86"/>
      <c r="J158" s="86"/>
      <c r="K158" s="94"/>
      <c r="L158" s="94"/>
      <c r="M158" s="94"/>
      <c r="N158" s="94"/>
      <c r="O158" s="94"/>
      <c r="P158" s="126"/>
    </row>
    <row r="159" spans="1:19" x14ac:dyDescent="0.25">
      <c r="A159" s="127">
        <f>A158+1</f>
        <v>3</v>
      </c>
      <c r="B159" s="51" t="s">
        <v>360</v>
      </c>
      <c r="C159" s="131"/>
      <c r="D159" s="70">
        <f t="shared" ref="D159:O159" si="25">D15+D25+D30+D35+D40+D45+D71+D74</f>
        <v>1333000.0000000002</v>
      </c>
      <c r="E159" s="70">
        <f t="shared" si="25"/>
        <v>1292000.0999999999</v>
      </c>
      <c r="F159" s="70">
        <f t="shared" si="25"/>
        <v>969000</v>
      </c>
      <c r="G159" s="70">
        <f t="shared" si="25"/>
        <v>552999.9</v>
      </c>
      <c r="H159" s="70">
        <f t="shared" si="25"/>
        <v>259999.90000000002</v>
      </c>
      <c r="I159" s="70">
        <f t="shared" si="25"/>
        <v>123999.99999999999</v>
      </c>
      <c r="J159" s="70">
        <f t="shared" si="25"/>
        <v>89000.1</v>
      </c>
      <c r="K159" s="70">
        <f t="shared" si="25"/>
        <v>86000</v>
      </c>
      <c r="L159" s="70">
        <f t="shared" si="25"/>
        <v>89000.099999999991</v>
      </c>
      <c r="M159" s="70">
        <f t="shared" si="25"/>
        <v>141999.99999999997</v>
      </c>
      <c r="N159" s="70">
        <f t="shared" si="25"/>
        <v>409000.00000000006</v>
      </c>
      <c r="O159" s="70">
        <f t="shared" si="25"/>
        <v>907000</v>
      </c>
      <c r="P159" s="147">
        <f>SUM(D159:O159)</f>
        <v>6253000.0999999996</v>
      </c>
    </row>
    <row r="160" spans="1:19" x14ac:dyDescent="0.25">
      <c r="A160" s="127">
        <f>A159+1</f>
        <v>4</v>
      </c>
      <c r="B160" s="51" t="s">
        <v>244</v>
      </c>
      <c r="C160" s="141"/>
      <c r="D160" s="136">
        <f t="shared" ref="D160:P160" si="26">D16+D26+D31+D36+D41+D46+D75</f>
        <v>0</v>
      </c>
      <c r="E160" s="136">
        <f t="shared" si="26"/>
        <v>0</v>
      </c>
      <c r="F160" s="136">
        <f t="shared" si="26"/>
        <v>0</v>
      </c>
      <c r="G160" s="136">
        <f t="shared" si="26"/>
        <v>0</v>
      </c>
      <c r="H160" s="136">
        <f t="shared" si="26"/>
        <v>0</v>
      </c>
      <c r="I160" s="136">
        <f t="shared" si="26"/>
        <v>0</v>
      </c>
      <c r="J160" s="136">
        <f t="shared" si="26"/>
        <v>0</v>
      </c>
      <c r="K160" s="136">
        <f t="shared" si="26"/>
        <v>0</v>
      </c>
      <c r="L160" s="136">
        <f t="shared" si="26"/>
        <v>0</v>
      </c>
      <c r="M160" s="136">
        <f t="shared" si="26"/>
        <v>0</v>
      </c>
      <c r="N160" s="136">
        <f t="shared" si="26"/>
        <v>0</v>
      </c>
      <c r="O160" s="136">
        <f t="shared" si="26"/>
        <v>0</v>
      </c>
      <c r="P160" s="350">
        <f t="shared" si="26"/>
        <v>0</v>
      </c>
    </row>
    <row r="161" spans="1:16" ht="15.6" x14ac:dyDescent="0.3">
      <c r="A161" s="127">
        <f>A160+1</f>
        <v>5</v>
      </c>
      <c r="B161" s="51" t="s">
        <v>263</v>
      </c>
      <c r="C161" s="106"/>
      <c r="D161" s="70">
        <f t="shared" ref="D161:O161" si="27">SUM(D159:D160)</f>
        <v>1333000.0000000002</v>
      </c>
      <c r="E161" s="70">
        <f t="shared" si="27"/>
        <v>1292000.0999999999</v>
      </c>
      <c r="F161" s="70">
        <f t="shared" si="27"/>
        <v>969000</v>
      </c>
      <c r="G161" s="70">
        <f t="shared" si="27"/>
        <v>552999.9</v>
      </c>
      <c r="H161" s="70">
        <f t="shared" si="27"/>
        <v>259999.90000000002</v>
      </c>
      <c r="I161" s="70">
        <f t="shared" si="27"/>
        <v>123999.99999999999</v>
      </c>
      <c r="J161" s="70">
        <f t="shared" si="27"/>
        <v>89000.1</v>
      </c>
      <c r="K161" s="70">
        <f t="shared" si="27"/>
        <v>86000</v>
      </c>
      <c r="L161" s="70">
        <f t="shared" si="27"/>
        <v>89000.099999999991</v>
      </c>
      <c r="M161" s="70">
        <f t="shared" si="27"/>
        <v>141999.99999999997</v>
      </c>
      <c r="N161" s="70">
        <f t="shared" si="27"/>
        <v>409000.00000000006</v>
      </c>
      <c r="O161" s="70">
        <f t="shared" si="27"/>
        <v>907000</v>
      </c>
      <c r="P161" s="147">
        <f>SUM(D161:O161)</f>
        <v>6253000.0999999996</v>
      </c>
    </row>
    <row r="162" spans="1:16" x14ac:dyDescent="0.25">
      <c r="A162" s="127"/>
      <c r="B162" s="51"/>
      <c r="C162" s="86"/>
      <c r="D162" s="86"/>
      <c r="E162" s="86"/>
      <c r="F162" s="86"/>
      <c r="G162" s="86"/>
      <c r="H162" s="86"/>
      <c r="I162" s="86"/>
      <c r="J162" s="86"/>
      <c r="K162" s="94"/>
      <c r="L162" s="94"/>
      <c r="M162" s="94"/>
      <c r="N162" s="94"/>
      <c r="O162" s="94"/>
      <c r="P162" s="126"/>
    </row>
    <row r="163" spans="1:16" ht="15.6" x14ac:dyDescent="0.3">
      <c r="A163" s="127">
        <f>A161+1</f>
        <v>6</v>
      </c>
      <c r="B163" s="50" t="s">
        <v>12</v>
      </c>
      <c r="C163" s="86"/>
      <c r="D163" s="86"/>
      <c r="E163" s="86"/>
      <c r="F163" s="86"/>
      <c r="G163" s="86"/>
      <c r="H163" s="86"/>
      <c r="I163" s="86"/>
      <c r="J163" s="86"/>
      <c r="K163" s="94"/>
      <c r="L163" s="94"/>
      <c r="M163" s="94"/>
      <c r="N163" s="94"/>
      <c r="O163" s="94"/>
      <c r="P163" s="126"/>
    </row>
    <row r="164" spans="1:16" x14ac:dyDescent="0.25">
      <c r="A164" s="127">
        <f>A163+1</f>
        <v>7</v>
      </c>
      <c r="B164" s="51" t="s">
        <v>360</v>
      </c>
      <c r="C164" s="131"/>
      <c r="D164" s="70">
        <f>D20+D50+D84</f>
        <v>663861.79999999993</v>
      </c>
      <c r="E164" s="70">
        <f t="shared" ref="E164:O164" si="28">E20+E50+E84</f>
        <v>657699.4</v>
      </c>
      <c r="F164" s="70">
        <f t="shared" si="28"/>
        <v>458908.9</v>
      </c>
      <c r="G164" s="70">
        <f t="shared" si="28"/>
        <v>278329.19999999995</v>
      </c>
      <c r="H164" s="70">
        <f t="shared" si="28"/>
        <v>134669.29999999999</v>
      </c>
      <c r="I164" s="70">
        <f t="shared" si="28"/>
        <v>80793.899999999994</v>
      </c>
      <c r="J164" s="70">
        <f t="shared" si="28"/>
        <v>56765.5</v>
      </c>
      <c r="K164" s="70">
        <f t="shared" si="28"/>
        <v>52809.2</v>
      </c>
      <c r="L164" s="70">
        <f t="shared" si="28"/>
        <v>51816.6</v>
      </c>
      <c r="M164" s="70">
        <f t="shared" si="28"/>
        <v>77281.100000000006</v>
      </c>
      <c r="N164" s="70">
        <f t="shared" si="28"/>
        <v>171960.69999999998</v>
      </c>
      <c r="O164" s="70">
        <f t="shared" si="28"/>
        <v>425797</v>
      </c>
      <c r="P164" s="147">
        <f>P20+P50+P84</f>
        <v>3110692.6</v>
      </c>
    </row>
    <row r="165" spans="1:16" x14ac:dyDescent="0.25">
      <c r="A165" s="127">
        <f>A164+1</f>
        <v>8</v>
      </c>
      <c r="B165" s="51" t="s">
        <v>244</v>
      </c>
      <c r="C165" s="141"/>
      <c r="D165" s="136">
        <f>D21+D51+D90</f>
        <v>-2622.8</v>
      </c>
      <c r="E165" s="136">
        <f t="shared" ref="E165:O165" si="29">E21+E51+E90</f>
        <v>-2096</v>
      </c>
      <c r="F165" s="136">
        <f t="shared" si="29"/>
        <v>-1600</v>
      </c>
      <c r="G165" s="136">
        <f t="shared" si="29"/>
        <v>-800</v>
      </c>
      <c r="H165" s="136">
        <f t="shared" si="29"/>
        <v>-100</v>
      </c>
      <c r="I165" s="136">
        <f t="shared" si="29"/>
        <v>-50</v>
      </c>
      <c r="J165" s="136">
        <f t="shared" si="29"/>
        <v>0</v>
      </c>
      <c r="K165" s="136">
        <f t="shared" si="29"/>
        <v>0</v>
      </c>
      <c r="L165" s="136">
        <f t="shared" si="29"/>
        <v>0</v>
      </c>
      <c r="M165" s="136">
        <f t="shared" si="29"/>
        <v>-100</v>
      </c>
      <c r="N165" s="136">
        <f t="shared" si="29"/>
        <v>-800</v>
      </c>
      <c r="O165" s="136">
        <f t="shared" si="29"/>
        <v>-1900</v>
      </c>
      <c r="P165" s="350">
        <f>P21+P51+P90</f>
        <v>-10068.799999999999</v>
      </c>
    </row>
    <row r="166" spans="1:16" ht="15.6" x14ac:dyDescent="0.3">
      <c r="A166" s="127">
        <f>A165+1</f>
        <v>9</v>
      </c>
      <c r="B166" s="51" t="s">
        <v>263</v>
      </c>
      <c r="C166" s="106"/>
      <c r="D166" s="70">
        <f t="shared" ref="D166:O166" si="30">SUM(D164:D165)</f>
        <v>661238.99999999988</v>
      </c>
      <c r="E166" s="70">
        <f t="shared" si="30"/>
        <v>655603.4</v>
      </c>
      <c r="F166" s="70">
        <f t="shared" si="30"/>
        <v>457308.9</v>
      </c>
      <c r="G166" s="70">
        <f t="shared" si="30"/>
        <v>277529.19999999995</v>
      </c>
      <c r="H166" s="70">
        <f t="shared" si="30"/>
        <v>134569.29999999999</v>
      </c>
      <c r="I166" s="70">
        <f t="shared" si="30"/>
        <v>80743.899999999994</v>
      </c>
      <c r="J166" s="70">
        <f t="shared" si="30"/>
        <v>56765.5</v>
      </c>
      <c r="K166" s="70">
        <f t="shared" si="30"/>
        <v>52809.2</v>
      </c>
      <c r="L166" s="70">
        <f t="shared" si="30"/>
        <v>51816.6</v>
      </c>
      <c r="M166" s="70">
        <f t="shared" si="30"/>
        <v>77181.100000000006</v>
      </c>
      <c r="N166" s="70">
        <f t="shared" si="30"/>
        <v>171160.69999999998</v>
      </c>
      <c r="O166" s="70">
        <f t="shared" si="30"/>
        <v>423897</v>
      </c>
      <c r="P166" s="147">
        <f>SUM(D166:O166)</f>
        <v>3100623.8000000003</v>
      </c>
    </row>
    <row r="167" spans="1:16" x14ac:dyDescent="0.25">
      <c r="A167" s="127"/>
      <c r="B167" s="51"/>
      <c r="C167" s="86"/>
      <c r="D167" s="86"/>
      <c r="E167" s="86"/>
      <c r="F167" s="86"/>
      <c r="G167" s="86"/>
      <c r="H167" s="86"/>
      <c r="I167" s="86"/>
      <c r="J167" s="86"/>
      <c r="K167" s="94"/>
      <c r="L167" s="94"/>
      <c r="M167" s="94"/>
      <c r="N167" s="94"/>
      <c r="O167" s="94"/>
      <c r="P167" s="126"/>
    </row>
    <row r="168" spans="1:16" ht="15.6" x14ac:dyDescent="0.3">
      <c r="A168" s="127">
        <f>A166+1</f>
        <v>10</v>
      </c>
      <c r="B168" s="50" t="s">
        <v>13</v>
      </c>
      <c r="C168" s="86"/>
      <c r="D168" s="86"/>
      <c r="E168" s="86"/>
      <c r="F168" s="86"/>
      <c r="G168" s="86"/>
      <c r="H168" s="86"/>
      <c r="I168" s="86"/>
      <c r="J168" s="86"/>
      <c r="K168" s="94"/>
      <c r="L168" s="94"/>
      <c r="M168" s="94"/>
      <c r="N168" s="94"/>
      <c r="O168" s="94"/>
      <c r="P168" s="126"/>
    </row>
    <row r="169" spans="1:16" x14ac:dyDescent="0.25">
      <c r="A169" s="127">
        <f>A168+1</f>
        <v>11</v>
      </c>
      <c r="B169" s="51" t="s">
        <v>360</v>
      </c>
      <c r="C169" s="131"/>
      <c r="D169" s="70">
        <f>D117+D136</f>
        <v>13000.199999999999</v>
      </c>
      <c r="E169" s="70">
        <f t="shared" ref="E169:P169" si="31">E117+E136</f>
        <v>11999.900000000001</v>
      </c>
      <c r="F169" s="70">
        <f t="shared" si="31"/>
        <v>11000</v>
      </c>
      <c r="G169" s="70">
        <f t="shared" si="31"/>
        <v>9999.9000000000015</v>
      </c>
      <c r="H169" s="70">
        <f t="shared" si="31"/>
        <v>9000.2999999999993</v>
      </c>
      <c r="I169" s="70">
        <f t="shared" si="31"/>
        <v>7999.9</v>
      </c>
      <c r="J169" s="70">
        <f t="shared" si="31"/>
        <v>7999.9</v>
      </c>
      <c r="K169" s="70">
        <f t="shared" si="31"/>
        <v>9000.1999999999989</v>
      </c>
      <c r="L169" s="70">
        <f t="shared" si="31"/>
        <v>9000.2000000000007</v>
      </c>
      <c r="M169" s="70">
        <f t="shared" si="31"/>
        <v>10999.900000000001</v>
      </c>
      <c r="N169" s="70">
        <f t="shared" si="31"/>
        <v>10999.999999999998</v>
      </c>
      <c r="O169" s="70">
        <f t="shared" si="31"/>
        <v>11000.099999999999</v>
      </c>
      <c r="P169" s="147">
        <f t="shared" si="31"/>
        <v>122000.5</v>
      </c>
    </row>
    <row r="170" spans="1:16" x14ac:dyDescent="0.25">
      <c r="A170" s="127">
        <f>A169+1</f>
        <v>12</v>
      </c>
      <c r="B170" s="51" t="s">
        <v>244</v>
      </c>
      <c r="C170" s="141"/>
      <c r="D170" s="136">
        <f>D123</f>
        <v>20000</v>
      </c>
      <c r="E170" s="136">
        <f t="shared" ref="E170:P170" si="32">E123</f>
        <v>20000</v>
      </c>
      <c r="F170" s="136">
        <f t="shared" si="32"/>
        <v>19900</v>
      </c>
      <c r="G170" s="136">
        <f t="shared" si="32"/>
        <v>19800</v>
      </c>
      <c r="H170" s="136">
        <f t="shared" si="32"/>
        <v>19800</v>
      </c>
      <c r="I170" s="136">
        <f t="shared" si="32"/>
        <v>19750</v>
      </c>
      <c r="J170" s="136">
        <f t="shared" si="32"/>
        <v>19750</v>
      </c>
      <c r="K170" s="136">
        <f t="shared" si="32"/>
        <v>19750</v>
      </c>
      <c r="L170" s="136">
        <f t="shared" si="32"/>
        <v>19750</v>
      </c>
      <c r="M170" s="136">
        <f t="shared" si="32"/>
        <v>19850</v>
      </c>
      <c r="N170" s="136">
        <f t="shared" si="32"/>
        <v>19900</v>
      </c>
      <c r="O170" s="136">
        <f t="shared" si="32"/>
        <v>20000</v>
      </c>
      <c r="P170" s="350">
        <f t="shared" si="32"/>
        <v>238250</v>
      </c>
    </row>
    <row r="171" spans="1:16" ht="15.6" x14ac:dyDescent="0.3">
      <c r="A171" s="127">
        <f>A170+1</f>
        <v>13</v>
      </c>
      <c r="B171" s="51" t="s">
        <v>263</v>
      </c>
      <c r="C171" s="106"/>
      <c r="D171" s="70">
        <f t="shared" ref="D171:O171" si="33">SUM(D169:D170)</f>
        <v>33000.199999999997</v>
      </c>
      <c r="E171" s="70">
        <f t="shared" si="33"/>
        <v>31999.9</v>
      </c>
      <c r="F171" s="70">
        <f t="shared" si="33"/>
        <v>30900</v>
      </c>
      <c r="G171" s="70">
        <f t="shared" si="33"/>
        <v>29799.9</v>
      </c>
      <c r="H171" s="70">
        <f t="shared" si="33"/>
        <v>28800.3</v>
      </c>
      <c r="I171" s="70">
        <f t="shared" si="33"/>
        <v>27749.9</v>
      </c>
      <c r="J171" s="70">
        <f t="shared" si="33"/>
        <v>27749.9</v>
      </c>
      <c r="K171" s="70">
        <f t="shared" si="33"/>
        <v>28750.199999999997</v>
      </c>
      <c r="L171" s="70">
        <f t="shared" si="33"/>
        <v>28750.2</v>
      </c>
      <c r="M171" s="70">
        <f t="shared" si="33"/>
        <v>30849.9</v>
      </c>
      <c r="N171" s="70">
        <f t="shared" si="33"/>
        <v>30900</v>
      </c>
      <c r="O171" s="70">
        <f t="shared" si="33"/>
        <v>31000.1</v>
      </c>
      <c r="P171" s="147">
        <f>SUM(D171:O171)</f>
        <v>360250.5</v>
      </c>
    </row>
    <row r="172" spans="1:16" x14ac:dyDescent="0.25">
      <c r="A172" s="127"/>
      <c r="B172" s="51"/>
      <c r="C172" s="86"/>
      <c r="D172" s="86"/>
      <c r="E172" s="86"/>
      <c r="F172" s="86"/>
      <c r="G172" s="86"/>
      <c r="H172" s="86"/>
      <c r="I172" s="86"/>
      <c r="J172" s="86"/>
      <c r="K172" s="94"/>
      <c r="L172" s="94"/>
      <c r="M172" s="94"/>
      <c r="N172" s="94"/>
      <c r="O172" s="94"/>
      <c r="P172" s="126"/>
    </row>
    <row r="173" spans="1:16" ht="15.6" x14ac:dyDescent="0.3">
      <c r="A173" s="127">
        <f>A171+1</f>
        <v>14</v>
      </c>
      <c r="B173" s="50" t="s">
        <v>72</v>
      </c>
      <c r="C173" s="86"/>
      <c r="D173" s="86"/>
      <c r="E173" s="86"/>
      <c r="F173" s="86"/>
      <c r="G173" s="86"/>
      <c r="H173" s="86"/>
      <c r="I173" s="86"/>
      <c r="J173" s="121"/>
      <c r="K173" s="94"/>
      <c r="L173" s="94"/>
      <c r="M173" s="94"/>
      <c r="N173" s="94"/>
      <c r="O173" s="94"/>
      <c r="P173" s="126"/>
    </row>
    <row r="174" spans="1:16" x14ac:dyDescent="0.25">
      <c r="A174" s="127">
        <f>A173+1</f>
        <v>15</v>
      </c>
      <c r="B174" s="51" t="s">
        <v>360</v>
      </c>
      <c r="C174" s="131"/>
      <c r="D174" s="70">
        <f t="shared" ref="D174:O174" si="34">D139</f>
        <v>3136.7</v>
      </c>
      <c r="E174" s="70">
        <f t="shared" si="34"/>
        <v>2307.1999999999998</v>
      </c>
      <c r="F174" s="70">
        <f t="shared" si="34"/>
        <v>1098.5999999999999</v>
      </c>
      <c r="G174" s="70">
        <f t="shared" si="34"/>
        <v>641.70000000000005</v>
      </c>
      <c r="H174" s="70">
        <f t="shared" si="34"/>
        <v>362.9</v>
      </c>
      <c r="I174" s="70">
        <f t="shared" si="34"/>
        <v>221.4</v>
      </c>
      <c r="J174" s="70">
        <f t="shared" si="34"/>
        <v>245</v>
      </c>
      <c r="K174" s="70">
        <f t="shared" si="34"/>
        <v>196.3</v>
      </c>
      <c r="L174" s="70">
        <f t="shared" si="34"/>
        <v>196.6</v>
      </c>
      <c r="M174" s="70">
        <f t="shared" si="34"/>
        <v>705.2</v>
      </c>
      <c r="N174" s="70">
        <f t="shared" si="34"/>
        <v>1014.3</v>
      </c>
      <c r="O174" s="70">
        <f t="shared" si="34"/>
        <v>1194.8</v>
      </c>
      <c r="P174" s="147">
        <f>SUM(D174:O174)</f>
        <v>11320.699999999999</v>
      </c>
    </row>
    <row r="175" spans="1:16" x14ac:dyDescent="0.25">
      <c r="A175" s="127">
        <f>A174+1</f>
        <v>16</v>
      </c>
      <c r="B175" s="51" t="s">
        <v>244</v>
      </c>
      <c r="C175" s="141"/>
      <c r="D175" s="136">
        <f t="shared" ref="D175:O175" si="35">D140</f>
        <v>0</v>
      </c>
      <c r="E175" s="136">
        <f t="shared" si="35"/>
        <v>0</v>
      </c>
      <c r="F175" s="136">
        <f t="shared" si="35"/>
        <v>0</v>
      </c>
      <c r="G175" s="136">
        <f t="shared" si="35"/>
        <v>0</v>
      </c>
      <c r="H175" s="136">
        <f t="shared" si="35"/>
        <v>0</v>
      </c>
      <c r="I175" s="136">
        <f t="shared" si="35"/>
        <v>0</v>
      </c>
      <c r="J175" s="136">
        <f t="shared" si="35"/>
        <v>0</v>
      </c>
      <c r="K175" s="136">
        <f t="shared" si="35"/>
        <v>0</v>
      </c>
      <c r="L175" s="136">
        <f t="shared" si="35"/>
        <v>0</v>
      </c>
      <c r="M175" s="136">
        <f t="shared" si="35"/>
        <v>0</v>
      </c>
      <c r="N175" s="136">
        <f t="shared" si="35"/>
        <v>0</v>
      </c>
      <c r="O175" s="136">
        <f t="shared" si="35"/>
        <v>0</v>
      </c>
      <c r="P175" s="350">
        <f>SUM(D175:O175)</f>
        <v>0</v>
      </c>
    </row>
    <row r="176" spans="1:16" ht="15.6" x14ac:dyDescent="0.3">
      <c r="A176" s="127">
        <f>A175+1</f>
        <v>17</v>
      </c>
      <c r="B176" s="51" t="s">
        <v>263</v>
      </c>
      <c r="C176" s="106"/>
      <c r="D176" s="70">
        <f t="shared" ref="D176:O176" si="36">SUM(D174:D175)</f>
        <v>3136.7</v>
      </c>
      <c r="E176" s="70">
        <f t="shared" si="36"/>
        <v>2307.1999999999998</v>
      </c>
      <c r="F176" s="70">
        <f t="shared" si="36"/>
        <v>1098.5999999999999</v>
      </c>
      <c r="G176" s="70">
        <f t="shared" si="36"/>
        <v>641.70000000000005</v>
      </c>
      <c r="H176" s="70">
        <f t="shared" si="36"/>
        <v>362.9</v>
      </c>
      <c r="I176" s="70">
        <f t="shared" si="36"/>
        <v>221.4</v>
      </c>
      <c r="J176" s="70">
        <f t="shared" si="36"/>
        <v>245</v>
      </c>
      <c r="K176" s="70">
        <f t="shared" si="36"/>
        <v>196.3</v>
      </c>
      <c r="L176" s="70">
        <f t="shared" si="36"/>
        <v>196.6</v>
      </c>
      <c r="M176" s="70">
        <f t="shared" si="36"/>
        <v>705.2</v>
      </c>
      <c r="N176" s="70">
        <f t="shared" si="36"/>
        <v>1014.3</v>
      </c>
      <c r="O176" s="70">
        <f t="shared" si="36"/>
        <v>1194.8</v>
      </c>
      <c r="P176" s="147">
        <f>SUM(D176:O176)</f>
        <v>11320.699999999999</v>
      </c>
    </row>
    <row r="177" spans="1:19" x14ac:dyDescent="0.25">
      <c r="A177" s="127"/>
      <c r="B177" s="51"/>
      <c r="C177" s="121"/>
      <c r="D177" s="121"/>
      <c r="E177" s="121"/>
      <c r="F177" s="121"/>
      <c r="G177" s="121"/>
      <c r="H177" s="121"/>
      <c r="I177" s="121"/>
      <c r="J177" s="121"/>
      <c r="K177" s="94"/>
      <c r="L177" s="94"/>
      <c r="M177" s="94"/>
      <c r="N177" s="94"/>
      <c r="O177" s="94"/>
      <c r="P177" s="126"/>
    </row>
    <row r="178" spans="1:19" ht="15.6" x14ac:dyDescent="0.3">
      <c r="A178" s="127">
        <f>A176+1</f>
        <v>18</v>
      </c>
      <c r="B178" s="50" t="s">
        <v>14</v>
      </c>
      <c r="C178" s="86"/>
      <c r="D178" s="86"/>
      <c r="E178" s="86"/>
      <c r="F178" s="86"/>
      <c r="G178" s="86"/>
      <c r="H178" s="86"/>
      <c r="I178" s="86"/>
      <c r="J178" s="86"/>
      <c r="K178" s="94"/>
      <c r="L178" s="94"/>
      <c r="M178" s="94"/>
      <c r="N178" s="94"/>
      <c r="O178" s="94"/>
      <c r="P178" s="126"/>
    </row>
    <row r="179" spans="1:19" x14ac:dyDescent="0.25">
      <c r="A179" s="127">
        <f>A178+1</f>
        <v>19</v>
      </c>
      <c r="B179" s="51" t="s">
        <v>360</v>
      </c>
      <c r="C179" s="131"/>
      <c r="D179" s="70">
        <f t="shared" ref="D179:O179" si="37">D159+D164+D169+D174</f>
        <v>2012998.7000000002</v>
      </c>
      <c r="E179" s="70">
        <f t="shared" si="37"/>
        <v>1964006.5999999999</v>
      </c>
      <c r="F179" s="70">
        <f t="shared" si="37"/>
        <v>1440007.5</v>
      </c>
      <c r="G179" s="70">
        <f t="shared" si="37"/>
        <v>841970.7</v>
      </c>
      <c r="H179" s="70">
        <f t="shared" si="37"/>
        <v>404032.4</v>
      </c>
      <c r="I179" s="70">
        <f t="shared" si="37"/>
        <v>213015.19999999995</v>
      </c>
      <c r="J179" s="70">
        <f t="shared" si="37"/>
        <v>154010.5</v>
      </c>
      <c r="K179" s="70">
        <f t="shared" si="37"/>
        <v>148005.70000000001</v>
      </c>
      <c r="L179" s="70">
        <f t="shared" si="37"/>
        <v>150013.5</v>
      </c>
      <c r="M179" s="70">
        <f t="shared" si="37"/>
        <v>230986.19999999998</v>
      </c>
      <c r="N179" s="70">
        <f t="shared" si="37"/>
        <v>592975.00000000012</v>
      </c>
      <c r="O179" s="70">
        <f t="shared" si="37"/>
        <v>1344991.9000000001</v>
      </c>
      <c r="P179" s="147">
        <f>SUM(D179:O179)</f>
        <v>9497013.9000000004</v>
      </c>
    </row>
    <row r="180" spans="1:19" x14ac:dyDescent="0.25">
      <c r="A180" s="127">
        <f>A179+1</f>
        <v>20</v>
      </c>
      <c r="B180" s="51" t="s">
        <v>244</v>
      </c>
      <c r="C180" s="141"/>
      <c r="D180" s="136">
        <f t="shared" ref="D180:O180" si="38">D160+D165+D170+D175</f>
        <v>17377.2</v>
      </c>
      <c r="E180" s="136">
        <f t="shared" si="38"/>
        <v>17904</v>
      </c>
      <c r="F180" s="136">
        <f t="shared" si="38"/>
        <v>18300</v>
      </c>
      <c r="G180" s="136">
        <f t="shared" si="38"/>
        <v>19000</v>
      </c>
      <c r="H180" s="136">
        <f t="shared" si="38"/>
        <v>19700</v>
      </c>
      <c r="I180" s="136">
        <f t="shared" si="38"/>
        <v>19700</v>
      </c>
      <c r="J180" s="136">
        <f t="shared" si="38"/>
        <v>19750</v>
      </c>
      <c r="K180" s="136">
        <f t="shared" si="38"/>
        <v>19750</v>
      </c>
      <c r="L180" s="136">
        <f t="shared" si="38"/>
        <v>19750</v>
      </c>
      <c r="M180" s="136">
        <f t="shared" si="38"/>
        <v>19750</v>
      </c>
      <c r="N180" s="136">
        <f t="shared" si="38"/>
        <v>19100</v>
      </c>
      <c r="O180" s="136">
        <f t="shared" si="38"/>
        <v>18100</v>
      </c>
      <c r="P180" s="350">
        <f>SUM(D180:O180)</f>
        <v>228181.2</v>
      </c>
    </row>
    <row r="181" spans="1:19" ht="16.2" thickBot="1" x14ac:dyDescent="0.35">
      <c r="A181" s="128">
        <f>A180+1</f>
        <v>21</v>
      </c>
      <c r="B181" s="142" t="s">
        <v>263</v>
      </c>
      <c r="C181" s="349"/>
      <c r="D181" s="144">
        <f t="shared" ref="D181:O181" si="39">SUM(D179:D180)</f>
        <v>2030375.9000000001</v>
      </c>
      <c r="E181" s="144">
        <f t="shared" si="39"/>
        <v>1981910.5999999999</v>
      </c>
      <c r="F181" s="144">
        <f t="shared" si="39"/>
        <v>1458307.5</v>
      </c>
      <c r="G181" s="144">
        <f t="shared" si="39"/>
        <v>860970.7</v>
      </c>
      <c r="H181" s="144">
        <f t="shared" si="39"/>
        <v>423732.4</v>
      </c>
      <c r="I181" s="144">
        <f t="shared" si="39"/>
        <v>232715.19999999995</v>
      </c>
      <c r="J181" s="144">
        <f t="shared" si="39"/>
        <v>173760.5</v>
      </c>
      <c r="K181" s="144">
        <f t="shared" si="39"/>
        <v>167755.70000000001</v>
      </c>
      <c r="L181" s="144">
        <f t="shared" si="39"/>
        <v>169763.5</v>
      </c>
      <c r="M181" s="144">
        <f t="shared" si="39"/>
        <v>250736.19999999998</v>
      </c>
      <c r="N181" s="144">
        <f t="shared" si="39"/>
        <v>612075.00000000012</v>
      </c>
      <c r="O181" s="144">
        <f t="shared" si="39"/>
        <v>1363091.9000000001</v>
      </c>
      <c r="P181" s="145">
        <f>SUM(D181:O181)</f>
        <v>9725195.1000000015</v>
      </c>
    </row>
    <row r="182" spans="1:19" ht="15.6" x14ac:dyDescent="0.3">
      <c r="A182" s="122"/>
      <c r="B182" s="133"/>
      <c r="C182" s="129"/>
      <c r="D182" s="170"/>
      <c r="E182" s="170"/>
      <c r="F182" s="170"/>
      <c r="G182" s="170"/>
      <c r="H182" s="170"/>
      <c r="I182" s="170"/>
      <c r="J182" s="171"/>
      <c r="K182" s="171"/>
      <c r="L182" s="171"/>
      <c r="M182" s="171"/>
      <c r="N182" s="171"/>
      <c r="O182" s="171"/>
      <c r="P182" s="134"/>
      <c r="S182" s="133"/>
    </row>
    <row r="183" spans="1:19" ht="15.6" x14ac:dyDescent="0.3">
      <c r="A183" s="122"/>
      <c r="B183" s="133"/>
      <c r="C183" s="129"/>
      <c r="D183" s="170"/>
      <c r="E183" s="170"/>
      <c r="F183" s="170"/>
      <c r="G183" s="170"/>
      <c r="H183" s="170"/>
      <c r="I183" s="170"/>
      <c r="J183" s="171"/>
      <c r="K183" s="171"/>
      <c r="L183" s="171"/>
      <c r="M183" s="171"/>
      <c r="N183" s="171"/>
      <c r="O183" s="171"/>
      <c r="P183" s="134"/>
      <c r="S183" s="133"/>
    </row>
    <row r="184" spans="1:19" ht="15.6" x14ac:dyDescent="0.3">
      <c r="A184" s="92">
        <f>A181+1</f>
        <v>22</v>
      </c>
      <c r="B184" s="50" t="s">
        <v>266</v>
      </c>
      <c r="C184" s="129"/>
      <c r="D184" s="170"/>
      <c r="E184" s="170"/>
      <c r="F184" s="170"/>
      <c r="G184" s="170"/>
      <c r="H184" s="170"/>
      <c r="I184" s="170"/>
      <c r="J184" s="171"/>
      <c r="K184" s="171"/>
      <c r="L184" s="171"/>
      <c r="M184" s="171"/>
      <c r="N184" s="171"/>
      <c r="O184" s="171"/>
      <c r="P184" s="134"/>
      <c r="S184" s="133"/>
    </row>
    <row r="185" spans="1:19" ht="15.6" x14ac:dyDescent="0.3">
      <c r="A185" s="92">
        <f>A184+1</f>
        <v>23</v>
      </c>
      <c r="B185" s="51" t="s">
        <v>360</v>
      </c>
      <c r="C185" s="131"/>
      <c r="D185" s="323">
        <v>364000</v>
      </c>
      <c r="E185" s="323">
        <v>353000</v>
      </c>
      <c r="F185" s="323">
        <v>265000</v>
      </c>
      <c r="G185" s="323">
        <v>151000</v>
      </c>
      <c r="H185" s="323">
        <v>71000</v>
      </c>
      <c r="I185" s="323">
        <v>34000</v>
      </c>
      <c r="J185" s="323">
        <v>24000</v>
      </c>
      <c r="K185" s="323">
        <v>23000</v>
      </c>
      <c r="L185" s="323">
        <v>25000</v>
      </c>
      <c r="M185" s="323">
        <v>39000</v>
      </c>
      <c r="N185" s="323">
        <v>111000</v>
      </c>
      <c r="O185" s="323">
        <v>247000</v>
      </c>
      <c r="P185" s="70">
        <f>SUM(D185:O185)</f>
        <v>1707000</v>
      </c>
      <c r="S185" s="133"/>
    </row>
    <row r="186" spans="1:19" ht="15.6" x14ac:dyDescent="0.3">
      <c r="A186" s="92">
        <f>A185+1</f>
        <v>24</v>
      </c>
      <c r="B186" s="51" t="s">
        <v>244</v>
      </c>
      <c r="C186" s="141" t="s">
        <v>363</v>
      </c>
      <c r="D186" s="332">
        <v>0</v>
      </c>
      <c r="E186" s="332">
        <v>0</v>
      </c>
      <c r="F186" s="332">
        <v>0</v>
      </c>
      <c r="G186" s="332">
        <v>0</v>
      </c>
      <c r="H186" s="332">
        <v>0</v>
      </c>
      <c r="I186" s="332">
        <v>0</v>
      </c>
      <c r="J186" s="332">
        <v>0</v>
      </c>
      <c r="K186" s="332">
        <v>0</v>
      </c>
      <c r="L186" s="332">
        <v>0</v>
      </c>
      <c r="M186" s="332">
        <v>0</v>
      </c>
      <c r="N186" s="332">
        <v>0</v>
      </c>
      <c r="O186" s="332">
        <v>0</v>
      </c>
      <c r="P186" s="136">
        <f>SUM(D186:O186)</f>
        <v>0</v>
      </c>
      <c r="S186" s="133"/>
    </row>
    <row r="187" spans="1:19" ht="15.6" x14ac:dyDescent="0.3">
      <c r="A187" s="92">
        <f>A186+1</f>
        <v>25</v>
      </c>
      <c r="B187" s="51" t="s">
        <v>263</v>
      </c>
      <c r="C187" s="106"/>
      <c r="D187" s="70">
        <f t="shared" ref="D187:O187" si="40">SUM(D185:D186)</f>
        <v>364000</v>
      </c>
      <c r="E187" s="70">
        <f t="shared" si="40"/>
        <v>353000</v>
      </c>
      <c r="F187" s="70">
        <f t="shared" si="40"/>
        <v>265000</v>
      </c>
      <c r="G187" s="70">
        <f t="shared" si="40"/>
        <v>151000</v>
      </c>
      <c r="H187" s="70">
        <f t="shared" si="40"/>
        <v>71000</v>
      </c>
      <c r="I187" s="70">
        <f t="shared" si="40"/>
        <v>34000</v>
      </c>
      <c r="J187" s="70">
        <f t="shared" si="40"/>
        <v>24000</v>
      </c>
      <c r="K187" s="70">
        <f t="shared" si="40"/>
        <v>23000</v>
      </c>
      <c r="L187" s="70">
        <f t="shared" si="40"/>
        <v>25000</v>
      </c>
      <c r="M187" s="70">
        <f t="shared" si="40"/>
        <v>39000</v>
      </c>
      <c r="N187" s="70">
        <f t="shared" si="40"/>
        <v>111000</v>
      </c>
      <c r="O187" s="70">
        <f t="shared" si="40"/>
        <v>247000</v>
      </c>
      <c r="P187" s="70">
        <f>SUM(D187:O187)</f>
        <v>1707000</v>
      </c>
      <c r="S187" s="133"/>
    </row>
    <row r="188" spans="1:19" ht="15.6" x14ac:dyDescent="0.3">
      <c r="A188" s="92"/>
      <c r="B188" s="51"/>
      <c r="C188" s="106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52"/>
      <c r="S188" s="133"/>
    </row>
    <row r="189" spans="1:19" ht="15.6" x14ac:dyDescent="0.3">
      <c r="A189" s="92">
        <f>A187+1</f>
        <v>26</v>
      </c>
      <c r="B189" s="50" t="s">
        <v>267</v>
      </c>
      <c r="C189" s="131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51"/>
      <c r="S189" s="133"/>
    </row>
    <row r="190" spans="1:19" ht="15.6" x14ac:dyDescent="0.3">
      <c r="A190" s="92">
        <f>A189+1</f>
        <v>27</v>
      </c>
      <c r="B190" s="51" t="s">
        <v>360</v>
      </c>
      <c r="C190" s="131"/>
      <c r="D190" s="306"/>
      <c r="E190" s="306"/>
      <c r="F190" s="306"/>
      <c r="G190" s="323"/>
      <c r="H190" s="323"/>
      <c r="I190" s="323"/>
      <c r="J190" s="323"/>
      <c r="K190" s="323"/>
      <c r="L190" s="323"/>
      <c r="M190" s="306"/>
      <c r="N190" s="306"/>
      <c r="O190" s="306"/>
      <c r="P190" s="104"/>
      <c r="S190" s="133"/>
    </row>
    <row r="191" spans="1:19" ht="15.6" x14ac:dyDescent="0.3">
      <c r="A191" s="92">
        <f>A190+1</f>
        <v>28</v>
      </c>
      <c r="B191" s="330" t="s">
        <v>255</v>
      </c>
      <c r="C191" s="131"/>
      <c r="D191" s="323">
        <v>115248.5</v>
      </c>
      <c r="E191" s="306">
        <v>116322.6</v>
      </c>
      <c r="F191" s="306">
        <v>106138.4</v>
      </c>
      <c r="G191" s="323">
        <v>75878.899999999994</v>
      </c>
      <c r="H191" s="323">
        <v>48386.9</v>
      </c>
      <c r="I191" s="323">
        <v>34090.9</v>
      </c>
      <c r="J191" s="323">
        <v>31140.7</v>
      </c>
      <c r="K191" s="323">
        <v>30451.200000000001</v>
      </c>
      <c r="L191" s="323">
        <v>32109</v>
      </c>
      <c r="M191" s="306">
        <v>40148.199999999997</v>
      </c>
      <c r="N191" s="306">
        <v>62458.3</v>
      </c>
      <c r="O191" s="306">
        <v>94003.8</v>
      </c>
      <c r="P191" s="104">
        <f>SUM(D191:O191)</f>
        <v>786377.4</v>
      </c>
      <c r="S191" s="133"/>
    </row>
    <row r="192" spans="1:19" ht="15.6" x14ac:dyDescent="0.3">
      <c r="A192" s="92">
        <f>A191+1</f>
        <v>29</v>
      </c>
      <c r="B192" s="330" t="s">
        <v>256</v>
      </c>
      <c r="C192" s="131"/>
      <c r="D192" s="323">
        <v>147158.6</v>
      </c>
      <c r="E192" s="306">
        <v>143758.29999999999</v>
      </c>
      <c r="F192" s="306">
        <v>103281.1</v>
      </c>
      <c r="G192" s="323">
        <v>63376.9</v>
      </c>
      <c r="H192" s="323">
        <v>39602.300000000003</v>
      </c>
      <c r="I192" s="323">
        <v>30878.400000000001</v>
      </c>
      <c r="J192" s="323">
        <v>27567.7</v>
      </c>
      <c r="K192" s="323">
        <v>26232.9</v>
      </c>
      <c r="L192" s="323">
        <v>28470.1</v>
      </c>
      <c r="M192" s="306">
        <v>38563.300000000003</v>
      </c>
      <c r="N192" s="306">
        <v>57697.599999999999</v>
      </c>
      <c r="O192" s="306">
        <v>100340.5</v>
      </c>
      <c r="P192" s="104">
        <f>SUM(D192:O192)</f>
        <v>806927.7</v>
      </c>
      <c r="S192" s="133"/>
    </row>
    <row r="193" spans="1:19" ht="15.6" x14ac:dyDescent="0.3">
      <c r="A193" s="92">
        <f>A192+1</f>
        <v>30</v>
      </c>
      <c r="B193" s="330" t="s">
        <v>257</v>
      </c>
      <c r="C193" s="131"/>
      <c r="D193" s="323">
        <v>37085</v>
      </c>
      <c r="E193" s="306">
        <v>34041.199999999997</v>
      </c>
      <c r="F193" s="306">
        <v>18666.5</v>
      </c>
      <c r="G193" s="323">
        <v>11741.5</v>
      </c>
      <c r="H193" s="323">
        <v>6797.7</v>
      </c>
      <c r="I193" s="323">
        <v>6188.9</v>
      </c>
      <c r="J193" s="323">
        <v>5312.4</v>
      </c>
      <c r="K193" s="323">
        <v>5525.8</v>
      </c>
      <c r="L193" s="323">
        <v>6310.6</v>
      </c>
      <c r="M193" s="306">
        <v>8979.6</v>
      </c>
      <c r="N193" s="306">
        <v>14083</v>
      </c>
      <c r="O193" s="306">
        <v>24521.200000000001</v>
      </c>
      <c r="P193" s="104">
        <f>SUM(D193:O193)</f>
        <v>179253.4</v>
      </c>
      <c r="S193" s="133"/>
    </row>
    <row r="194" spans="1:19" ht="15.6" x14ac:dyDescent="0.3">
      <c r="A194" s="92">
        <f>A193+1</f>
        <v>31</v>
      </c>
      <c r="B194" s="330" t="s">
        <v>258</v>
      </c>
      <c r="C194" s="131"/>
      <c r="D194" s="332">
        <v>22508.7</v>
      </c>
      <c r="E194" s="332">
        <v>17880.3</v>
      </c>
      <c r="F194" s="332">
        <v>7915.1</v>
      </c>
      <c r="G194" s="332">
        <v>4006.6</v>
      </c>
      <c r="H194" s="332">
        <v>2211.6999999999998</v>
      </c>
      <c r="I194" s="332">
        <v>2841.9</v>
      </c>
      <c r="J194" s="332">
        <v>1978.2</v>
      </c>
      <c r="K194" s="332">
        <v>1791.2</v>
      </c>
      <c r="L194" s="332">
        <v>2108.3000000000002</v>
      </c>
      <c r="M194" s="332">
        <v>3303.5</v>
      </c>
      <c r="N194" s="332">
        <v>5755.8</v>
      </c>
      <c r="O194" s="332">
        <v>15131</v>
      </c>
      <c r="P194" s="136">
        <f>SUM(D194:O194)</f>
        <v>87432.3</v>
      </c>
      <c r="S194" s="133"/>
    </row>
    <row r="195" spans="1:19" ht="15.6" x14ac:dyDescent="0.3">
      <c r="A195" s="92"/>
      <c r="B195" s="330"/>
      <c r="C195" s="131"/>
      <c r="D195" s="103">
        <f t="shared" ref="D195:N195" si="41">SUM(D191:D194)</f>
        <v>322000.8</v>
      </c>
      <c r="E195" s="103">
        <f t="shared" si="41"/>
        <v>312002.39999999997</v>
      </c>
      <c r="F195" s="103">
        <f t="shared" si="41"/>
        <v>236001.1</v>
      </c>
      <c r="G195" s="103">
        <f t="shared" si="41"/>
        <v>155003.9</v>
      </c>
      <c r="H195" s="103">
        <f t="shared" si="41"/>
        <v>96998.6</v>
      </c>
      <c r="I195" s="103">
        <f t="shared" si="41"/>
        <v>74000.099999999991</v>
      </c>
      <c r="J195" s="103">
        <f t="shared" si="41"/>
        <v>65999</v>
      </c>
      <c r="K195" s="103">
        <f t="shared" si="41"/>
        <v>64001.100000000006</v>
      </c>
      <c r="L195" s="103">
        <f t="shared" si="41"/>
        <v>68998</v>
      </c>
      <c r="M195" s="103">
        <f t="shared" si="41"/>
        <v>90994.6</v>
      </c>
      <c r="N195" s="103">
        <f t="shared" si="41"/>
        <v>139994.69999999998</v>
      </c>
      <c r="O195" s="103">
        <f>SUM(O191:O194)</f>
        <v>233996.5</v>
      </c>
      <c r="P195" s="104">
        <f>SUM(D195:O195)</f>
        <v>1859990.8000000003</v>
      </c>
      <c r="S195" s="133"/>
    </row>
    <row r="196" spans="1:19" ht="15.6" x14ac:dyDescent="0.3">
      <c r="A196" s="92">
        <f>A194+1</f>
        <v>32</v>
      </c>
      <c r="B196" s="51" t="s">
        <v>244</v>
      </c>
      <c r="C196" s="141" t="s">
        <v>363</v>
      </c>
      <c r="D196" s="323"/>
      <c r="E196" s="323"/>
      <c r="F196" s="323"/>
      <c r="G196" s="323"/>
      <c r="H196" s="323"/>
      <c r="I196" s="323"/>
      <c r="J196" s="323"/>
      <c r="K196" s="323"/>
      <c r="L196" s="323"/>
      <c r="M196" s="323"/>
      <c r="N196" s="323"/>
      <c r="O196" s="323"/>
      <c r="P196" s="70"/>
      <c r="S196" s="133"/>
    </row>
    <row r="197" spans="1:19" ht="15.6" x14ac:dyDescent="0.3">
      <c r="A197" s="92">
        <f>A196+1</f>
        <v>33</v>
      </c>
      <c r="B197" s="51" t="str">
        <f>B191</f>
        <v xml:space="preserve">    First 50 Mcf</v>
      </c>
      <c r="C197" s="141"/>
      <c r="D197" s="323">
        <v>0</v>
      </c>
      <c r="E197" s="323">
        <v>0</v>
      </c>
      <c r="F197" s="323">
        <v>0</v>
      </c>
      <c r="G197" s="323">
        <v>0</v>
      </c>
      <c r="H197" s="323">
        <v>0</v>
      </c>
      <c r="I197" s="323">
        <v>0</v>
      </c>
      <c r="J197" s="323">
        <v>0</v>
      </c>
      <c r="K197" s="323">
        <v>0</v>
      </c>
      <c r="L197" s="323">
        <v>0</v>
      </c>
      <c r="M197" s="323">
        <v>0</v>
      </c>
      <c r="N197" s="323">
        <v>0</v>
      </c>
      <c r="O197" s="323">
        <v>0</v>
      </c>
      <c r="P197" s="70">
        <f>SUM(D197:O197)</f>
        <v>0</v>
      </c>
      <c r="S197" s="133"/>
    </row>
    <row r="198" spans="1:19" ht="15.6" x14ac:dyDescent="0.3">
      <c r="A198" s="92">
        <f>A197+1</f>
        <v>34</v>
      </c>
      <c r="B198" s="51" t="str">
        <f>B192</f>
        <v xml:space="preserve">    Next 350 Mcf</v>
      </c>
      <c r="C198" s="141"/>
      <c r="D198" s="323">
        <v>0</v>
      </c>
      <c r="E198" s="323">
        <v>0</v>
      </c>
      <c r="F198" s="323">
        <v>0</v>
      </c>
      <c r="G198" s="323">
        <v>0</v>
      </c>
      <c r="H198" s="323">
        <v>0</v>
      </c>
      <c r="I198" s="323">
        <v>0</v>
      </c>
      <c r="J198" s="323">
        <v>0</v>
      </c>
      <c r="K198" s="323">
        <v>0</v>
      </c>
      <c r="L198" s="323">
        <v>0</v>
      </c>
      <c r="M198" s="323">
        <v>0</v>
      </c>
      <c r="N198" s="323">
        <v>0</v>
      </c>
      <c r="O198" s="323">
        <v>0</v>
      </c>
      <c r="P198" s="70">
        <f>SUM(D198:O198)</f>
        <v>0</v>
      </c>
      <c r="S198" s="133"/>
    </row>
    <row r="199" spans="1:19" ht="15.6" x14ac:dyDescent="0.3">
      <c r="A199" s="92">
        <f>A198+1</f>
        <v>35</v>
      </c>
      <c r="B199" s="51" t="str">
        <f>B193</f>
        <v xml:space="preserve">    Next 600 Mcf</v>
      </c>
      <c r="C199" s="141"/>
      <c r="D199" s="323">
        <v>0</v>
      </c>
      <c r="E199" s="323">
        <v>0</v>
      </c>
      <c r="F199" s="323">
        <v>0</v>
      </c>
      <c r="G199" s="323">
        <v>0</v>
      </c>
      <c r="H199" s="323">
        <v>0</v>
      </c>
      <c r="I199" s="323">
        <v>0</v>
      </c>
      <c r="J199" s="323">
        <v>0</v>
      </c>
      <c r="K199" s="323">
        <v>0</v>
      </c>
      <c r="L199" s="323">
        <v>0</v>
      </c>
      <c r="M199" s="323">
        <v>0</v>
      </c>
      <c r="N199" s="323">
        <v>0</v>
      </c>
      <c r="O199" s="323">
        <v>0</v>
      </c>
      <c r="P199" s="70">
        <f>SUM(D199:O199)</f>
        <v>0</v>
      </c>
      <c r="S199" s="133"/>
    </row>
    <row r="200" spans="1:19" ht="15.6" x14ac:dyDescent="0.3">
      <c r="A200" s="92">
        <f>A199+1</f>
        <v>36</v>
      </c>
      <c r="B200" s="51" t="str">
        <f>B194</f>
        <v xml:space="preserve">    Over 1,000 Mcf</v>
      </c>
      <c r="C200" s="141"/>
      <c r="D200" s="332">
        <v>0</v>
      </c>
      <c r="E200" s="332">
        <v>0</v>
      </c>
      <c r="F200" s="332">
        <v>0</v>
      </c>
      <c r="G200" s="332">
        <v>0</v>
      </c>
      <c r="H200" s="332">
        <v>0</v>
      </c>
      <c r="I200" s="332">
        <v>0</v>
      </c>
      <c r="J200" s="332">
        <v>0</v>
      </c>
      <c r="K200" s="332">
        <v>0</v>
      </c>
      <c r="L200" s="332">
        <v>0</v>
      </c>
      <c r="M200" s="332">
        <v>0</v>
      </c>
      <c r="N200" s="332">
        <v>0</v>
      </c>
      <c r="O200" s="332">
        <v>0</v>
      </c>
      <c r="P200" s="136">
        <f>SUM(D200:O200)</f>
        <v>0</v>
      </c>
      <c r="S200" s="133"/>
    </row>
    <row r="201" spans="1:19" ht="15.6" x14ac:dyDescent="0.3">
      <c r="A201" s="92"/>
      <c r="B201" s="51"/>
      <c r="C201" s="141"/>
      <c r="D201" s="70">
        <f t="shared" ref="D201:N201" si="42">SUM(D197:D200)</f>
        <v>0</v>
      </c>
      <c r="E201" s="70">
        <f t="shared" si="42"/>
        <v>0</v>
      </c>
      <c r="F201" s="70">
        <f t="shared" si="42"/>
        <v>0</v>
      </c>
      <c r="G201" s="70">
        <f t="shared" si="42"/>
        <v>0</v>
      </c>
      <c r="H201" s="70">
        <f t="shared" si="42"/>
        <v>0</v>
      </c>
      <c r="I201" s="70">
        <f t="shared" si="42"/>
        <v>0</v>
      </c>
      <c r="J201" s="70">
        <f t="shared" si="42"/>
        <v>0</v>
      </c>
      <c r="K201" s="70">
        <f t="shared" si="42"/>
        <v>0</v>
      </c>
      <c r="L201" s="70">
        <f t="shared" si="42"/>
        <v>0</v>
      </c>
      <c r="M201" s="70">
        <f t="shared" si="42"/>
        <v>0</v>
      </c>
      <c r="N201" s="70">
        <f t="shared" si="42"/>
        <v>0</v>
      </c>
      <c r="O201" s="70">
        <f>SUM(O197:O200)</f>
        <v>0</v>
      </c>
      <c r="P201" s="70">
        <f>SUM(D201:O201)</f>
        <v>0</v>
      </c>
      <c r="S201" s="133"/>
    </row>
    <row r="202" spans="1:19" ht="15.6" x14ac:dyDescent="0.3">
      <c r="A202" s="92">
        <f>A200+1</f>
        <v>37</v>
      </c>
      <c r="B202" s="51" t="s">
        <v>263</v>
      </c>
      <c r="C202" s="106"/>
      <c r="D202" s="103"/>
      <c r="E202" s="103"/>
      <c r="F202" s="103"/>
      <c r="G202" s="70"/>
      <c r="H202" s="70"/>
      <c r="I202" s="70"/>
      <c r="J202" s="70"/>
      <c r="K202" s="70"/>
      <c r="L202" s="70"/>
      <c r="M202" s="103"/>
      <c r="N202" s="103"/>
      <c r="O202" s="103"/>
      <c r="P202" s="104"/>
      <c r="S202" s="133"/>
    </row>
    <row r="203" spans="1:19" ht="15.6" x14ac:dyDescent="0.3">
      <c r="A203" s="92">
        <f>A202+1</f>
        <v>38</v>
      </c>
      <c r="B203" s="51" t="str">
        <f>B191</f>
        <v xml:space="preserve">    First 50 Mcf</v>
      </c>
      <c r="C203" s="129"/>
      <c r="D203" s="163">
        <f>D191+D197</f>
        <v>115248.5</v>
      </c>
      <c r="E203" s="163">
        <f t="shared" ref="E203:O203" si="43">E191+E197</f>
        <v>116322.6</v>
      </c>
      <c r="F203" s="163">
        <f t="shared" si="43"/>
        <v>106138.4</v>
      </c>
      <c r="G203" s="163">
        <f t="shared" si="43"/>
        <v>75878.899999999994</v>
      </c>
      <c r="H203" s="163">
        <f t="shared" si="43"/>
        <v>48386.9</v>
      </c>
      <c r="I203" s="163">
        <f t="shared" si="43"/>
        <v>34090.9</v>
      </c>
      <c r="J203" s="163">
        <f t="shared" si="43"/>
        <v>31140.7</v>
      </c>
      <c r="K203" s="163">
        <f t="shared" si="43"/>
        <v>30451.200000000001</v>
      </c>
      <c r="L203" s="163">
        <f t="shared" si="43"/>
        <v>32109</v>
      </c>
      <c r="M203" s="163">
        <f t="shared" si="43"/>
        <v>40148.199999999997</v>
      </c>
      <c r="N203" s="163">
        <f t="shared" si="43"/>
        <v>62458.3</v>
      </c>
      <c r="O203" s="163">
        <f t="shared" si="43"/>
        <v>94003.8</v>
      </c>
      <c r="P203" s="103">
        <f>SUM(D203:O203)</f>
        <v>786377.4</v>
      </c>
      <c r="S203" s="133"/>
    </row>
    <row r="204" spans="1:19" ht="15.6" x14ac:dyDescent="0.3">
      <c r="A204" s="92">
        <f>A203+1</f>
        <v>39</v>
      </c>
      <c r="B204" s="51" t="str">
        <f>B192</f>
        <v xml:space="preserve">    Next 350 Mcf</v>
      </c>
      <c r="C204" s="129"/>
      <c r="D204" s="163">
        <f t="shared" ref="D204:O206" si="44">D192+D198</f>
        <v>147158.6</v>
      </c>
      <c r="E204" s="163">
        <f t="shared" si="44"/>
        <v>143758.29999999999</v>
      </c>
      <c r="F204" s="163">
        <f t="shared" si="44"/>
        <v>103281.1</v>
      </c>
      <c r="G204" s="163">
        <f t="shared" si="44"/>
        <v>63376.9</v>
      </c>
      <c r="H204" s="163">
        <f t="shared" si="44"/>
        <v>39602.300000000003</v>
      </c>
      <c r="I204" s="163">
        <f t="shared" si="44"/>
        <v>30878.400000000001</v>
      </c>
      <c r="J204" s="163">
        <f t="shared" si="44"/>
        <v>27567.7</v>
      </c>
      <c r="K204" s="163">
        <f t="shared" si="44"/>
        <v>26232.9</v>
      </c>
      <c r="L204" s="163">
        <f t="shared" si="44"/>
        <v>28470.1</v>
      </c>
      <c r="M204" s="163">
        <f t="shared" si="44"/>
        <v>38563.300000000003</v>
      </c>
      <c r="N204" s="163">
        <f t="shared" si="44"/>
        <v>57697.599999999999</v>
      </c>
      <c r="O204" s="163">
        <f t="shared" si="44"/>
        <v>100340.5</v>
      </c>
      <c r="P204" s="103">
        <f>SUM(D204:O204)</f>
        <v>806927.7</v>
      </c>
      <c r="S204" s="133"/>
    </row>
    <row r="205" spans="1:19" ht="15.6" x14ac:dyDescent="0.3">
      <c r="A205" s="92">
        <f>A204+1</f>
        <v>40</v>
      </c>
      <c r="B205" s="51" t="str">
        <f>B193</f>
        <v xml:space="preserve">    Next 600 Mcf</v>
      </c>
      <c r="C205" s="129"/>
      <c r="D205" s="163">
        <f t="shared" si="44"/>
        <v>37085</v>
      </c>
      <c r="E205" s="163">
        <f t="shared" si="44"/>
        <v>34041.199999999997</v>
      </c>
      <c r="F205" s="163">
        <f t="shared" si="44"/>
        <v>18666.5</v>
      </c>
      <c r="G205" s="163">
        <f t="shared" si="44"/>
        <v>11741.5</v>
      </c>
      <c r="H205" s="163">
        <f t="shared" si="44"/>
        <v>6797.7</v>
      </c>
      <c r="I205" s="163">
        <f t="shared" si="44"/>
        <v>6188.9</v>
      </c>
      <c r="J205" s="163">
        <f t="shared" si="44"/>
        <v>5312.4</v>
      </c>
      <c r="K205" s="163">
        <f t="shared" si="44"/>
        <v>5525.8</v>
      </c>
      <c r="L205" s="163">
        <f t="shared" si="44"/>
        <v>6310.6</v>
      </c>
      <c r="M205" s="163">
        <f t="shared" si="44"/>
        <v>8979.6</v>
      </c>
      <c r="N205" s="163">
        <f t="shared" si="44"/>
        <v>14083</v>
      </c>
      <c r="O205" s="163">
        <f t="shared" si="44"/>
        <v>24521.200000000001</v>
      </c>
      <c r="P205" s="103">
        <f>SUM(D205:O205)</f>
        <v>179253.4</v>
      </c>
      <c r="S205" s="133"/>
    </row>
    <row r="206" spans="1:19" ht="15.6" x14ac:dyDescent="0.3">
      <c r="A206" s="92">
        <f>A205+1</f>
        <v>41</v>
      </c>
      <c r="B206" s="51" t="str">
        <f>B194</f>
        <v xml:space="preserve">    Over 1,000 Mcf</v>
      </c>
      <c r="C206" s="129"/>
      <c r="D206" s="138">
        <f t="shared" si="44"/>
        <v>22508.7</v>
      </c>
      <c r="E206" s="138">
        <f t="shared" si="44"/>
        <v>17880.3</v>
      </c>
      <c r="F206" s="138">
        <f t="shared" si="44"/>
        <v>7915.1</v>
      </c>
      <c r="G206" s="138">
        <f t="shared" si="44"/>
        <v>4006.6</v>
      </c>
      <c r="H206" s="138">
        <f t="shared" si="44"/>
        <v>2211.6999999999998</v>
      </c>
      <c r="I206" s="138">
        <f t="shared" si="44"/>
        <v>2841.9</v>
      </c>
      <c r="J206" s="138">
        <f t="shared" si="44"/>
        <v>1978.2</v>
      </c>
      <c r="K206" s="138">
        <f t="shared" si="44"/>
        <v>1791.2</v>
      </c>
      <c r="L206" s="138">
        <f t="shared" si="44"/>
        <v>2108.3000000000002</v>
      </c>
      <c r="M206" s="138">
        <f t="shared" si="44"/>
        <v>3303.5</v>
      </c>
      <c r="N206" s="138">
        <f t="shared" si="44"/>
        <v>5755.8</v>
      </c>
      <c r="O206" s="138">
        <f t="shared" si="44"/>
        <v>15131</v>
      </c>
      <c r="P206" s="136">
        <f>SUM(D206:O206)</f>
        <v>87432.3</v>
      </c>
      <c r="S206" s="133"/>
    </row>
    <row r="207" spans="1:19" ht="15.6" x14ac:dyDescent="0.3">
      <c r="A207" s="92">
        <f>A206+1</f>
        <v>42</v>
      </c>
      <c r="B207" s="51" t="s">
        <v>361</v>
      </c>
      <c r="C207" s="106"/>
      <c r="D207" s="70">
        <f>D195+D201</f>
        <v>322000.8</v>
      </c>
      <c r="E207" s="70">
        <f t="shared" ref="E207:O207" si="45">E195+E201</f>
        <v>312002.39999999997</v>
      </c>
      <c r="F207" s="70">
        <f t="shared" si="45"/>
        <v>236001.1</v>
      </c>
      <c r="G207" s="70">
        <f t="shared" si="45"/>
        <v>155003.9</v>
      </c>
      <c r="H207" s="70">
        <f t="shared" si="45"/>
        <v>96998.6</v>
      </c>
      <c r="I207" s="70">
        <f t="shared" si="45"/>
        <v>74000.099999999991</v>
      </c>
      <c r="J207" s="70">
        <f t="shared" si="45"/>
        <v>65999</v>
      </c>
      <c r="K207" s="70">
        <f t="shared" si="45"/>
        <v>64001.100000000006</v>
      </c>
      <c r="L207" s="70">
        <f t="shared" si="45"/>
        <v>68998</v>
      </c>
      <c r="M207" s="70">
        <f t="shared" si="45"/>
        <v>90994.6</v>
      </c>
      <c r="N207" s="70">
        <f t="shared" si="45"/>
        <v>139994.69999999998</v>
      </c>
      <c r="O207" s="70">
        <f t="shared" si="45"/>
        <v>233996.5</v>
      </c>
      <c r="P207" s="70">
        <f>SUM(D207:O207)</f>
        <v>1859990.8000000003</v>
      </c>
      <c r="S207" s="133"/>
    </row>
    <row r="208" spans="1:19" ht="15.6" x14ac:dyDescent="0.3">
      <c r="A208" s="122"/>
      <c r="B208" s="133"/>
      <c r="C208" s="129"/>
      <c r="D208" s="170"/>
      <c r="E208" s="170"/>
      <c r="F208" s="170"/>
      <c r="G208" s="170"/>
      <c r="H208" s="170"/>
      <c r="I208" s="170"/>
      <c r="J208" s="171"/>
      <c r="K208" s="171"/>
      <c r="L208" s="171"/>
      <c r="M208" s="171"/>
      <c r="N208" s="171"/>
      <c r="O208" s="171"/>
      <c r="P208" s="134"/>
      <c r="S208" s="133"/>
    </row>
    <row r="209" spans="1:19" ht="15.6" x14ac:dyDescent="0.3">
      <c r="A209" s="984" t="str">
        <f>CONAME</f>
        <v>Columbia Gas of Kentucky, Inc.</v>
      </c>
      <c r="B209" s="984"/>
      <c r="C209" s="984"/>
      <c r="D209" s="984"/>
      <c r="E209" s="984"/>
      <c r="F209" s="984"/>
      <c r="G209" s="984"/>
      <c r="H209" s="984"/>
      <c r="I209" s="984"/>
      <c r="J209" s="984"/>
      <c r="K209" s="984"/>
      <c r="L209" s="984"/>
      <c r="M209" s="984"/>
      <c r="N209" s="984"/>
      <c r="O209" s="984"/>
      <c r="P209" s="984"/>
    </row>
    <row r="210" spans="1:19" ht="15.6" x14ac:dyDescent="0.3">
      <c r="A210" s="984" t="s">
        <v>197</v>
      </c>
      <c r="B210" s="984"/>
      <c r="C210" s="984"/>
      <c r="D210" s="984"/>
      <c r="E210" s="984"/>
      <c r="F210" s="984"/>
      <c r="G210" s="984"/>
      <c r="H210" s="984"/>
      <c r="I210" s="984"/>
      <c r="J210" s="984"/>
      <c r="K210" s="984"/>
      <c r="L210" s="984"/>
      <c r="M210" s="984"/>
      <c r="N210" s="984"/>
      <c r="O210" s="984"/>
      <c r="P210" s="984"/>
    </row>
    <row r="211" spans="1:19" ht="15.6" x14ac:dyDescent="0.3">
      <c r="A211" s="983" t="str">
        <f>TYDESC</f>
        <v>For the 12 Months Ended December 31, 2017</v>
      </c>
      <c r="B211" s="983"/>
      <c r="C211" s="983"/>
      <c r="D211" s="983"/>
      <c r="E211" s="983"/>
      <c r="F211" s="983"/>
      <c r="G211" s="983"/>
      <c r="H211" s="983"/>
      <c r="I211" s="983"/>
      <c r="J211" s="983"/>
      <c r="K211" s="983"/>
      <c r="L211" s="983"/>
      <c r="M211" s="983"/>
      <c r="N211" s="983"/>
      <c r="O211" s="983"/>
      <c r="P211" s="983"/>
    </row>
    <row r="212" spans="1:19" ht="15.6" x14ac:dyDescent="0.3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1:19" ht="15.6" x14ac:dyDescent="0.3">
      <c r="A213" s="98" t="str">
        <f>$A$5</f>
        <v>Data: __ Base Period_X_Forecasted Period</v>
      </c>
      <c r="B213" s="51"/>
      <c r="C213" s="106"/>
      <c r="D213" s="106"/>
      <c r="E213" s="106"/>
      <c r="F213" s="106"/>
      <c r="G213" s="94"/>
      <c r="H213" s="94"/>
      <c r="I213" s="94"/>
      <c r="J213" s="94"/>
      <c r="K213" s="94"/>
      <c r="L213" s="94"/>
      <c r="M213" s="94"/>
      <c r="N213" s="94"/>
      <c r="O213" s="94"/>
      <c r="P213" s="324" t="str">
        <f>$P$5</f>
        <v>Workpaper WPM-C.2</v>
      </c>
    </row>
    <row r="214" spans="1:19" ht="15.6" x14ac:dyDescent="0.3">
      <c r="A214" s="98" t="str">
        <f>$A$6</f>
        <v>Type of Filing: X Original _ Update _ Revised</v>
      </c>
      <c r="B214" s="51"/>
      <c r="C214" s="106"/>
      <c r="D214" s="106"/>
      <c r="E214" s="106"/>
      <c r="F214" s="106"/>
      <c r="G214" s="94"/>
      <c r="H214" s="94"/>
      <c r="I214" s="94"/>
      <c r="J214" s="94"/>
      <c r="K214" s="94"/>
      <c r="L214" s="94"/>
      <c r="M214" s="94"/>
      <c r="N214" s="94"/>
      <c r="O214" s="94"/>
      <c r="P214" s="325" t="s">
        <v>368</v>
      </c>
    </row>
    <row r="215" spans="1:19" ht="15.6" x14ac:dyDescent="0.3">
      <c r="A215" s="98" t="str">
        <f>$A$7</f>
        <v>Work Paper Reference No(s):</v>
      </c>
      <c r="B215" s="51"/>
      <c r="C215" s="106"/>
      <c r="D215" s="106"/>
      <c r="E215" s="106"/>
      <c r="F215" s="106"/>
      <c r="G215" s="94"/>
      <c r="H215" s="94"/>
      <c r="I215" s="94"/>
      <c r="J215" s="94"/>
      <c r="K215" s="94"/>
      <c r="L215" s="94"/>
      <c r="M215" s="94"/>
      <c r="N215" s="94"/>
      <c r="O215" s="94"/>
      <c r="P215" s="325"/>
    </row>
    <row r="216" spans="1:19" ht="15.6" x14ac:dyDescent="0.3">
      <c r="A216" s="130" t="str">
        <f>$A$8</f>
        <v>12 Months Forecasted</v>
      </c>
      <c r="B216" s="122"/>
      <c r="C216" s="106"/>
      <c r="D216" s="326"/>
      <c r="E216" s="106"/>
      <c r="F216" s="327"/>
      <c r="G216" s="328"/>
      <c r="H216" s="327"/>
      <c r="I216" s="329"/>
      <c r="J216" s="327"/>
      <c r="K216" s="327"/>
      <c r="L216" s="327"/>
      <c r="M216" s="327"/>
      <c r="N216" s="327"/>
      <c r="O216" s="327"/>
      <c r="P216" s="308"/>
      <c r="Q216" s="122"/>
      <c r="R216" s="122"/>
    </row>
    <row r="217" spans="1:19" ht="15.6" x14ac:dyDescent="0.3">
      <c r="A217" s="99"/>
      <c r="B217" s="122"/>
      <c r="C217" s="106"/>
      <c r="D217" s="326"/>
      <c r="E217" s="106"/>
      <c r="F217" s="327"/>
      <c r="G217" s="328"/>
      <c r="H217" s="327"/>
      <c r="I217" s="329"/>
      <c r="J217" s="327"/>
      <c r="K217" s="327"/>
      <c r="L217" s="327"/>
      <c r="M217" s="327"/>
      <c r="N217" s="327"/>
      <c r="O217" s="327"/>
      <c r="P217" s="308"/>
      <c r="Q217" s="122"/>
      <c r="R217" s="122"/>
    </row>
    <row r="218" spans="1:19" ht="15.6" x14ac:dyDescent="0.3">
      <c r="A218" s="122" t="s">
        <v>1</v>
      </c>
      <c r="B218" s="122"/>
      <c r="C218" s="106"/>
      <c r="D218" s="326"/>
      <c r="E218" s="106"/>
      <c r="F218" s="327"/>
      <c r="G218" s="328"/>
      <c r="H218" s="327"/>
      <c r="I218" s="329"/>
      <c r="J218" s="327"/>
      <c r="K218" s="327"/>
      <c r="L218" s="327"/>
      <c r="M218" s="327"/>
      <c r="N218" s="327"/>
      <c r="O218" s="327"/>
      <c r="P218" s="308"/>
      <c r="Q218" s="133"/>
      <c r="R218" s="133"/>
    </row>
    <row r="219" spans="1:19" ht="15.6" x14ac:dyDescent="0.3">
      <c r="A219" s="310" t="s">
        <v>3</v>
      </c>
      <c r="B219" s="310" t="s">
        <v>4</v>
      </c>
      <c r="C219" s="311" t="s">
        <v>186</v>
      </c>
      <c r="D219" s="312" t="str">
        <f>B!$D$11</f>
        <v>Jan-17</v>
      </c>
      <c r="E219" s="312" t="str">
        <f>B!$E$11</f>
        <v>Feb-17</v>
      </c>
      <c r="F219" s="312" t="str">
        <f>B!$F$11</f>
        <v>Mar-17</v>
      </c>
      <c r="G219" s="312" t="str">
        <f>B!$G$11</f>
        <v>Apr-17</v>
      </c>
      <c r="H219" s="312" t="str">
        <f>B!$H$11</f>
        <v>May-17</v>
      </c>
      <c r="I219" s="312" t="str">
        <f>B!$I$11</f>
        <v>Jun-17</v>
      </c>
      <c r="J219" s="312" t="str">
        <f>B!$J$11</f>
        <v>Jul-17</v>
      </c>
      <c r="K219" s="312" t="str">
        <f>B!$K$11</f>
        <v>Aug-17</v>
      </c>
      <c r="L219" s="312" t="str">
        <f>B!$L$11</f>
        <v>Sep-17</v>
      </c>
      <c r="M219" s="312" t="str">
        <f>B!$M$11</f>
        <v>Oct-17</v>
      </c>
      <c r="N219" s="312" t="str">
        <f>B!$N$11</f>
        <v>Nov-17</v>
      </c>
      <c r="O219" s="312" t="str">
        <f>B!$O$11</f>
        <v>Dec-17</v>
      </c>
      <c r="P219" s="216" t="s">
        <v>9</v>
      </c>
      <c r="S219" s="213"/>
    </row>
    <row r="220" spans="1:19" ht="15.6" x14ac:dyDescent="0.3">
      <c r="A220" s="122"/>
      <c r="B220" s="133" t="s">
        <v>42</v>
      </c>
      <c r="C220" s="129" t="s">
        <v>43</v>
      </c>
      <c r="D220" s="307" t="s">
        <v>45</v>
      </c>
      <c r="E220" s="307" t="s">
        <v>46</v>
      </c>
      <c r="F220" s="307" t="s">
        <v>49</v>
      </c>
      <c r="G220" s="307" t="s">
        <v>50</v>
      </c>
      <c r="H220" s="307" t="s">
        <v>51</v>
      </c>
      <c r="I220" s="307" t="s">
        <v>52</v>
      </c>
      <c r="J220" s="307" t="s">
        <v>53</v>
      </c>
      <c r="K220" s="134" t="s">
        <v>54</v>
      </c>
      <c r="L220" s="134" t="s">
        <v>55</v>
      </c>
      <c r="M220" s="134" t="s">
        <v>56</v>
      </c>
      <c r="N220" s="134" t="s">
        <v>57</v>
      </c>
      <c r="O220" s="134" t="s">
        <v>58</v>
      </c>
      <c r="P220" s="134" t="s">
        <v>59</v>
      </c>
      <c r="S220" s="133"/>
    </row>
    <row r="221" spans="1:19" ht="15.6" x14ac:dyDescent="0.3">
      <c r="A221" s="122"/>
      <c r="B221" s="133"/>
      <c r="C221" s="129"/>
      <c r="D221" s="170"/>
      <c r="E221" s="170"/>
      <c r="F221" s="170"/>
      <c r="G221" s="170"/>
      <c r="H221" s="170"/>
      <c r="I221" s="170"/>
      <c r="J221" s="171"/>
      <c r="K221" s="171"/>
      <c r="L221" s="171"/>
      <c r="M221" s="171"/>
      <c r="N221" s="171"/>
      <c r="O221" s="171"/>
      <c r="P221" s="134"/>
      <c r="S221" s="133"/>
    </row>
    <row r="222" spans="1:19" ht="15.6" x14ac:dyDescent="0.3">
      <c r="A222" s="92">
        <v>1</v>
      </c>
      <c r="B222" s="50" t="s">
        <v>268</v>
      </c>
      <c r="C222" s="131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51"/>
    </row>
    <row r="223" spans="1:19" x14ac:dyDescent="0.25">
      <c r="A223" s="92">
        <f>A222+1</f>
        <v>2</v>
      </c>
      <c r="B223" s="51" t="s">
        <v>360</v>
      </c>
      <c r="C223" s="131"/>
      <c r="D223" s="306"/>
      <c r="E223" s="306"/>
      <c r="F223" s="306"/>
      <c r="G223" s="323"/>
      <c r="H223" s="323"/>
      <c r="I223" s="323"/>
      <c r="J223" s="323"/>
      <c r="K223" s="323"/>
      <c r="L223" s="323"/>
      <c r="M223" s="306"/>
      <c r="N223" s="306"/>
      <c r="O223" s="306"/>
      <c r="P223" s="104"/>
    </row>
    <row r="224" spans="1:19" x14ac:dyDescent="0.25">
      <c r="A224" s="92">
        <f>A223+1</f>
        <v>3</v>
      </c>
      <c r="B224" s="330" t="s">
        <v>255</v>
      </c>
      <c r="C224" s="131"/>
      <c r="D224" s="323">
        <v>472.7</v>
      </c>
      <c r="E224" s="306">
        <v>517.79999999999995</v>
      </c>
      <c r="F224" s="306">
        <v>508.5</v>
      </c>
      <c r="G224" s="323">
        <v>429.7</v>
      </c>
      <c r="H224" s="323">
        <v>346.2</v>
      </c>
      <c r="I224" s="323">
        <v>313.10000000000002</v>
      </c>
      <c r="J224" s="323">
        <v>310.60000000000002</v>
      </c>
      <c r="K224" s="323">
        <v>295.60000000000002</v>
      </c>
      <c r="L224" s="323">
        <v>279.2</v>
      </c>
      <c r="M224" s="306">
        <v>420.4</v>
      </c>
      <c r="N224" s="306">
        <v>426.1</v>
      </c>
      <c r="O224" s="306">
        <v>467.9</v>
      </c>
      <c r="P224" s="104">
        <f>SUM(D224:O224)</f>
        <v>4787.7999999999993</v>
      </c>
    </row>
    <row r="225" spans="1:94" x14ac:dyDescent="0.25">
      <c r="A225" s="92">
        <f>A224+1</f>
        <v>4</v>
      </c>
      <c r="B225" s="330" t="s">
        <v>256</v>
      </c>
      <c r="C225" s="131"/>
      <c r="D225" s="323">
        <v>2210.1999999999998</v>
      </c>
      <c r="E225" s="306">
        <v>2239.1</v>
      </c>
      <c r="F225" s="306">
        <v>2090.1999999999998</v>
      </c>
      <c r="G225" s="323">
        <v>1600.8</v>
      </c>
      <c r="H225" s="323">
        <v>1646.5</v>
      </c>
      <c r="I225" s="323">
        <v>1359.8</v>
      </c>
      <c r="J225" s="323">
        <v>1359.2</v>
      </c>
      <c r="K225" s="323">
        <v>1380.5</v>
      </c>
      <c r="L225" s="323">
        <v>1335.8</v>
      </c>
      <c r="M225" s="306">
        <v>1812.9</v>
      </c>
      <c r="N225" s="306">
        <v>2003.7</v>
      </c>
      <c r="O225" s="306">
        <v>2070.3000000000002</v>
      </c>
      <c r="P225" s="104">
        <f>SUM(D225:O225)</f>
        <v>21109</v>
      </c>
    </row>
    <row r="226" spans="1:94" x14ac:dyDescent="0.25">
      <c r="A226" s="92">
        <f>A225+1</f>
        <v>5</v>
      </c>
      <c r="B226" s="330" t="s">
        <v>257</v>
      </c>
      <c r="C226" s="131"/>
      <c r="D226" s="323">
        <v>2400</v>
      </c>
      <c r="E226" s="306">
        <v>2344.6999999999998</v>
      </c>
      <c r="F226" s="306">
        <v>2065.1</v>
      </c>
      <c r="G226" s="323">
        <v>1901.5</v>
      </c>
      <c r="H226" s="323">
        <v>1446.5</v>
      </c>
      <c r="I226" s="323">
        <v>1488.2</v>
      </c>
      <c r="J226" s="323">
        <v>1395.6</v>
      </c>
      <c r="K226" s="323">
        <v>1201</v>
      </c>
      <c r="L226" s="323">
        <v>1365.8</v>
      </c>
      <c r="M226" s="306">
        <v>1413.9</v>
      </c>
      <c r="N226" s="306">
        <v>1953.8</v>
      </c>
      <c r="O226" s="306">
        <v>1933.6</v>
      </c>
      <c r="P226" s="104">
        <f>SUM(D226:O226)</f>
        <v>20909.699999999997</v>
      </c>
    </row>
    <row r="227" spans="1:94" ht="16.8" x14ac:dyDescent="0.4">
      <c r="A227" s="92">
        <f>A226+1</f>
        <v>6</v>
      </c>
      <c r="B227" s="330" t="s">
        <v>258</v>
      </c>
      <c r="C227" s="131"/>
      <c r="D227" s="331">
        <v>917.2</v>
      </c>
      <c r="E227" s="335">
        <v>898.3</v>
      </c>
      <c r="F227" s="331">
        <v>1336.1</v>
      </c>
      <c r="G227" s="331">
        <v>2067.9</v>
      </c>
      <c r="H227" s="331">
        <v>2560.8000000000002</v>
      </c>
      <c r="I227" s="331">
        <v>2839</v>
      </c>
      <c r="J227" s="331">
        <v>2934.5</v>
      </c>
      <c r="K227" s="331">
        <v>3122.9</v>
      </c>
      <c r="L227" s="331">
        <v>3019.2</v>
      </c>
      <c r="M227" s="335">
        <v>2352.9</v>
      </c>
      <c r="N227" s="335">
        <v>1616.4</v>
      </c>
      <c r="O227" s="335">
        <v>1528.2</v>
      </c>
      <c r="P227" s="336">
        <f>SUM(D227:O227)</f>
        <v>25193.400000000005</v>
      </c>
    </row>
    <row r="228" spans="1:94" x14ac:dyDescent="0.25">
      <c r="A228" s="92"/>
      <c r="B228" s="330"/>
      <c r="C228" s="131"/>
      <c r="D228" s="103">
        <f t="shared" ref="D228:N228" si="46">SUM(D224:D227)</f>
        <v>6000.0999999999995</v>
      </c>
      <c r="E228" s="103">
        <f t="shared" si="46"/>
        <v>5999.9</v>
      </c>
      <c r="F228" s="103">
        <f t="shared" si="46"/>
        <v>5999.9</v>
      </c>
      <c r="G228" s="103">
        <f t="shared" si="46"/>
        <v>5999.9</v>
      </c>
      <c r="H228" s="103">
        <f t="shared" si="46"/>
        <v>6000</v>
      </c>
      <c r="I228" s="103">
        <f t="shared" si="46"/>
        <v>6000.1</v>
      </c>
      <c r="J228" s="103">
        <f t="shared" si="46"/>
        <v>5999.9</v>
      </c>
      <c r="K228" s="103">
        <f t="shared" si="46"/>
        <v>6000</v>
      </c>
      <c r="L228" s="103">
        <f t="shared" si="46"/>
        <v>6000</v>
      </c>
      <c r="M228" s="103">
        <f t="shared" si="46"/>
        <v>6000.1</v>
      </c>
      <c r="N228" s="103">
        <f t="shared" si="46"/>
        <v>6000</v>
      </c>
      <c r="O228" s="103">
        <f>SUM(O224:O227)</f>
        <v>6000</v>
      </c>
      <c r="P228" s="104">
        <f>SUM(D228:O228)</f>
        <v>71999.899999999994</v>
      </c>
    </row>
    <row r="229" spans="1:94" x14ac:dyDescent="0.25">
      <c r="A229" s="92">
        <f>A227+1</f>
        <v>7</v>
      </c>
      <c r="B229" s="51" t="s">
        <v>244</v>
      </c>
      <c r="C229" s="141" t="s">
        <v>363</v>
      </c>
      <c r="D229" s="323"/>
      <c r="E229" s="323"/>
      <c r="F229" s="323"/>
      <c r="G229" s="323"/>
      <c r="H229" s="323"/>
      <c r="I229" s="323"/>
      <c r="J229" s="323"/>
      <c r="K229" s="323"/>
      <c r="L229" s="323"/>
      <c r="M229" s="323"/>
      <c r="N229" s="323"/>
      <c r="O229" s="323"/>
      <c r="P229" s="70"/>
    </row>
    <row r="230" spans="1:94" x14ac:dyDescent="0.25">
      <c r="A230" s="92">
        <f>A229+1</f>
        <v>8</v>
      </c>
      <c r="B230" s="51" t="str">
        <f>B224</f>
        <v xml:space="preserve">    First 50 Mcf</v>
      </c>
      <c r="C230" s="141"/>
      <c r="D230" s="323">
        <v>0</v>
      </c>
      <c r="E230" s="323">
        <v>0</v>
      </c>
      <c r="F230" s="323">
        <v>0</v>
      </c>
      <c r="G230" s="323">
        <v>0</v>
      </c>
      <c r="H230" s="323">
        <v>0</v>
      </c>
      <c r="I230" s="323">
        <v>0</v>
      </c>
      <c r="J230" s="323">
        <v>0</v>
      </c>
      <c r="K230" s="323">
        <v>0</v>
      </c>
      <c r="L230" s="323">
        <v>0</v>
      </c>
      <c r="M230" s="323">
        <v>0</v>
      </c>
      <c r="N230" s="323">
        <v>0</v>
      </c>
      <c r="O230" s="323">
        <v>0</v>
      </c>
      <c r="P230" s="70">
        <f>SUM(D230:O230)</f>
        <v>0</v>
      </c>
    </row>
    <row r="231" spans="1:94" x14ac:dyDescent="0.25">
      <c r="A231" s="92">
        <f>A230+1</f>
        <v>9</v>
      </c>
      <c r="B231" s="51" t="str">
        <f>B225</f>
        <v xml:space="preserve">    Next 350 Mcf</v>
      </c>
      <c r="C231" s="141"/>
      <c r="D231" s="323">
        <v>0</v>
      </c>
      <c r="E231" s="323">
        <v>0</v>
      </c>
      <c r="F231" s="323">
        <v>0</v>
      </c>
      <c r="G231" s="323">
        <v>0</v>
      </c>
      <c r="H231" s="323">
        <v>0</v>
      </c>
      <c r="I231" s="323">
        <v>0</v>
      </c>
      <c r="J231" s="323">
        <v>0</v>
      </c>
      <c r="K231" s="323">
        <v>0</v>
      </c>
      <c r="L231" s="323">
        <v>0</v>
      </c>
      <c r="M231" s="323">
        <v>0</v>
      </c>
      <c r="N231" s="323">
        <v>0</v>
      </c>
      <c r="O231" s="323">
        <v>0</v>
      </c>
      <c r="P231" s="70">
        <f>SUM(D231:O231)</f>
        <v>0</v>
      </c>
    </row>
    <row r="232" spans="1:94" x14ac:dyDescent="0.25">
      <c r="A232" s="92">
        <f>A231+1</f>
        <v>10</v>
      </c>
      <c r="B232" s="51" t="str">
        <f>B226</f>
        <v xml:space="preserve">    Next 600 Mcf</v>
      </c>
      <c r="C232" s="141"/>
      <c r="D232" s="323">
        <v>0</v>
      </c>
      <c r="E232" s="323">
        <v>0</v>
      </c>
      <c r="F232" s="323">
        <v>0</v>
      </c>
      <c r="G232" s="323">
        <v>0</v>
      </c>
      <c r="H232" s="323">
        <v>0</v>
      </c>
      <c r="I232" s="323">
        <v>0</v>
      </c>
      <c r="J232" s="323">
        <v>0</v>
      </c>
      <c r="K232" s="323">
        <v>0</v>
      </c>
      <c r="L232" s="323">
        <v>0</v>
      </c>
      <c r="M232" s="323">
        <v>0</v>
      </c>
      <c r="N232" s="323">
        <v>0</v>
      </c>
      <c r="O232" s="323">
        <v>0</v>
      </c>
      <c r="P232" s="70">
        <f>SUM(D232:O232)</f>
        <v>0</v>
      </c>
    </row>
    <row r="233" spans="1:94" x14ac:dyDescent="0.25">
      <c r="A233" s="92">
        <f>A232+1</f>
        <v>11</v>
      </c>
      <c r="B233" s="51" t="str">
        <f>B227</f>
        <v xml:space="preserve">    Over 1,000 Mcf</v>
      </c>
      <c r="C233" s="141"/>
      <c r="D233" s="332">
        <v>0</v>
      </c>
      <c r="E233" s="332">
        <v>0</v>
      </c>
      <c r="F233" s="332">
        <v>0</v>
      </c>
      <c r="G233" s="332">
        <v>0</v>
      </c>
      <c r="H233" s="332">
        <v>0</v>
      </c>
      <c r="I233" s="332">
        <v>0</v>
      </c>
      <c r="J233" s="332">
        <v>0</v>
      </c>
      <c r="K233" s="332">
        <v>0</v>
      </c>
      <c r="L233" s="332">
        <v>0</v>
      </c>
      <c r="M233" s="332">
        <v>0</v>
      </c>
      <c r="N233" s="332">
        <v>0</v>
      </c>
      <c r="O233" s="332">
        <v>0</v>
      </c>
      <c r="P233" s="136">
        <f>SUM(D233:O233)</f>
        <v>0</v>
      </c>
    </row>
    <row r="234" spans="1:94" x14ac:dyDescent="0.25">
      <c r="A234" s="92"/>
      <c r="B234" s="51"/>
      <c r="C234" s="141"/>
      <c r="D234" s="70">
        <f t="shared" ref="D234:N234" si="47">SUM(D230:D233)</f>
        <v>0</v>
      </c>
      <c r="E234" s="70">
        <f t="shared" si="47"/>
        <v>0</v>
      </c>
      <c r="F234" s="70">
        <f t="shared" si="47"/>
        <v>0</v>
      </c>
      <c r="G234" s="70">
        <f t="shared" si="47"/>
        <v>0</v>
      </c>
      <c r="H234" s="70">
        <f t="shared" si="47"/>
        <v>0</v>
      </c>
      <c r="I234" s="70">
        <f t="shared" si="47"/>
        <v>0</v>
      </c>
      <c r="J234" s="70">
        <f t="shared" si="47"/>
        <v>0</v>
      </c>
      <c r="K234" s="70">
        <f t="shared" si="47"/>
        <v>0</v>
      </c>
      <c r="L234" s="70">
        <f t="shared" si="47"/>
        <v>0</v>
      </c>
      <c r="M234" s="70">
        <f t="shared" si="47"/>
        <v>0</v>
      </c>
      <c r="N234" s="70">
        <f t="shared" si="47"/>
        <v>0</v>
      </c>
      <c r="O234" s="70">
        <f>SUM(O230:O233)</f>
        <v>0</v>
      </c>
      <c r="P234" s="70">
        <f>SUM(D234:O234)</f>
        <v>0</v>
      </c>
    </row>
    <row r="235" spans="1:94" s="101" customFormat="1" ht="15.6" x14ac:dyDescent="0.3">
      <c r="A235" s="92">
        <f>A233+1</f>
        <v>12</v>
      </c>
      <c r="B235" s="51" t="s">
        <v>263</v>
      </c>
      <c r="C235" s="106"/>
      <c r="D235" s="103"/>
      <c r="E235" s="103"/>
      <c r="F235" s="103"/>
      <c r="G235" s="70"/>
      <c r="H235" s="70"/>
      <c r="I235" s="70"/>
      <c r="J235" s="70"/>
      <c r="K235" s="70"/>
      <c r="L235" s="70"/>
      <c r="M235" s="103"/>
      <c r="N235" s="103"/>
      <c r="O235" s="103"/>
      <c r="P235" s="104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</row>
    <row r="236" spans="1:94" ht="15.6" x14ac:dyDescent="0.3">
      <c r="A236" s="92">
        <f>A235+1</f>
        <v>13</v>
      </c>
      <c r="B236" s="51" t="str">
        <f>B224</f>
        <v xml:space="preserve">    First 50 Mcf</v>
      </c>
      <c r="C236" s="129"/>
      <c r="D236" s="163">
        <f>D224+D230</f>
        <v>472.7</v>
      </c>
      <c r="E236" s="163">
        <f t="shared" ref="E236:N236" si="48">E224+E230</f>
        <v>517.79999999999995</v>
      </c>
      <c r="F236" s="163">
        <f t="shared" si="48"/>
        <v>508.5</v>
      </c>
      <c r="G236" s="163">
        <f t="shared" si="48"/>
        <v>429.7</v>
      </c>
      <c r="H236" s="163">
        <f t="shared" si="48"/>
        <v>346.2</v>
      </c>
      <c r="I236" s="163">
        <f t="shared" si="48"/>
        <v>313.10000000000002</v>
      </c>
      <c r="J236" s="163">
        <f t="shared" si="48"/>
        <v>310.60000000000002</v>
      </c>
      <c r="K236" s="163">
        <f t="shared" si="48"/>
        <v>295.60000000000002</v>
      </c>
      <c r="L236" s="163">
        <f t="shared" si="48"/>
        <v>279.2</v>
      </c>
      <c r="M236" s="163">
        <f t="shared" si="48"/>
        <v>420.4</v>
      </c>
      <c r="N236" s="163">
        <f t="shared" si="48"/>
        <v>426.1</v>
      </c>
      <c r="O236" s="163">
        <f>O224+O230</f>
        <v>467.9</v>
      </c>
      <c r="P236" s="103">
        <f>SUM(D236:O236)</f>
        <v>4787.7999999999993</v>
      </c>
      <c r="S236" s="133"/>
    </row>
    <row r="237" spans="1:94" ht="15.6" x14ac:dyDescent="0.3">
      <c r="A237" s="92">
        <f>A236+1</f>
        <v>14</v>
      </c>
      <c r="B237" s="51" t="str">
        <f>B225</f>
        <v xml:space="preserve">    Next 350 Mcf</v>
      </c>
      <c r="C237" s="129"/>
      <c r="D237" s="163">
        <f t="shared" ref="D237:N239" si="49">D225+D231</f>
        <v>2210.1999999999998</v>
      </c>
      <c r="E237" s="163">
        <f t="shared" si="49"/>
        <v>2239.1</v>
      </c>
      <c r="F237" s="163">
        <f t="shared" si="49"/>
        <v>2090.1999999999998</v>
      </c>
      <c r="G237" s="163">
        <f t="shared" si="49"/>
        <v>1600.8</v>
      </c>
      <c r="H237" s="163">
        <f t="shared" si="49"/>
        <v>1646.5</v>
      </c>
      <c r="I237" s="163">
        <f t="shared" si="49"/>
        <v>1359.8</v>
      </c>
      <c r="J237" s="163">
        <f t="shared" si="49"/>
        <v>1359.2</v>
      </c>
      <c r="K237" s="163">
        <f t="shared" si="49"/>
        <v>1380.5</v>
      </c>
      <c r="L237" s="163">
        <f t="shared" si="49"/>
        <v>1335.8</v>
      </c>
      <c r="M237" s="163">
        <f t="shared" si="49"/>
        <v>1812.9</v>
      </c>
      <c r="N237" s="163">
        <f t="shared" si="49"/>
        <v>2003.7</v>
      </c>
      <c r="O237" s="163">
        <f>O225+O231</f>
        <v>2070.3000000000002</v>
      </c>
      <c r="P237" s="103">
        <f>SUM(D237:O237)</f>
        <v>21109</v>
      </c>
      <c r="S237" s="133"/>
    </row>
    <row r="238" spans="1:94" ht="15.6" x14ac:dyDescent="0.3">
      <c r="A238" s="92">
        <f>A237+1</f>
        <v>15</v>
      </c>
      <c r="B238" s="51" t="str">
        <f>B226</f>
        <v xml:space="preserve">    Next 600 Mcf</v>
      </c>
      <c r="C238" s="129"/>
      <c r="D238" s="163">
        <f t="shared" si="49"/>
        <v>2400</v>
      </c>
      <c r="E238" s="163">
        <f t="shared" si="49"/>
        <v>2344.6999999999998</v>
      </c>
      <c r="F238" s="163">
        <f t="shared" si="49"/>
        <v>2065.1</v>
      </c>
      <c r="G238" s="163">
        <f t="shared" si="49"/>
        <v>1901.5</v>
      </c>
      <c r="H238" s="163">
        <f t="shared" si="49"/>
        <v>1446.5</v>
      </c>
      <c r="I238" s="163">
        <f t="shared" si="49"/>
        <v>1488.2</v>
      </c>
      <c r="J238" s="163">
        <f t="shared" si="49"/>
        <v>1395.6</v>
      </c>
      <c r="K238" s="163">
        <f t="shared" si="49"/>
        <v>1201</v>
      </c>
      <c r="L238" s="163">
        <f t="shared" si="49"/>
        <v>1365.8</v>
      </c>
      <c r="M238" s="163">
        <f t="shared" si="49"/>
        <v>1413.9</v>
      </c>
      <c r="N238" s="163">
        <f t="shared" si="49"/>
        <v>1953.8</v>
      </c>
      <c r="O238" s="163">
        <f>O226+O232</f>
        <v>1933.6</v>
      </c>
      <c r="P238" s="103">
        <f>SUM(D238:O238)</f>
        <v>20909.699999999997</v>
      </c>
      <c r="S238" s="133"/>
    </row>
    <row r="239" spans="1:94" ht="15.6" x14ac:dyDescent="0.3">
      <c r="A239" s="92">
        <f>A238+1</f>
        <v>16</v>
      </c>
      <c r="B239" s="51" t="str">
        <f>B227</f>
        <v xml:space="preserve">    Over 1,000 Mcf</v>
      </c>
      <c r="C239" s="129"/>
      <c r="D239" s="138">
        <f t="shared" si="49"/>
        <v>917.2</v>
      </c>
      <c r="E239" s="138">
        <f t="shared" si="49"/>
        <v>898.3</v>
      </c>
      <c r="F239" s="138">
        <f t="shared" si="49"/>
        <v>1336.1</v>
      </c>
      <c r="G239" s="138">
        <f t="shared" si="49"/>
        <v>2067.9</v>
      </c>
      <c r="H239" s="138">
        <f t="shared" si="49"/>
        <v>2560.8000000000002</v>
      </c>
      <c r="I239" s="138">
        <f t="shared" si="49"/>
        <v>2839</v>
      </c>
      <c r="J239" s="138">
        <f t="shared" si="49"/>
        <v>2934.5</v>
      </c>
      <c r="K239" s="138">
        <f t="shared" si="49"/>
        <v>3122.9</v>
      </c>
      <c r="L239" s="138">
        <f t="shared" si="49"/>
        <v>3019.2</v>
      </c>
      <c r="M239" s="138">
        <f t="shared" si="49"/>
        <v>2352.9</v>
      </c>
      <c r="N239" s="138">
        <f t="shared" si="49"/>
        <v>1616.4</v>
      </c>
      <c r="O239" s="138">
        <f>O227+O233</f>
        <v>1528.2</v>
      </c>
      <c r="P239" s="136">
        <f>SUM(D239:O239)</f>
        <v>25193.400000000005</v>
      </c>
      <c r="S239" s="133"/>
    </row>
    <row r="240" spans="1:94" ht="15.6" x14ac:dyDescent="0.3">
      <c r="A240" s="92">
        <f>A239+1</f>
        <v>17</v>
      </c>
      <c r="B240" s="51" t="s">
        <v>361</v>
      </c>
      <c r="C240" s="106"/>
      <c r="D240" s="163">
        <f>D228+D234</f>
        <v>6000.0999999999995</v>
      </c>
      <c r="E240" s="163">
        <f t="shared" ref="E240:N240" si="50">E228+E234</f>
        <v>5999.9</v>
      </c>
      <c r="F240" s="163">
        <f t="shared" si="50"/>
        <v>5999.9</v>
      </c>
      <c r="G240" s="163">
        <f t="shared" si="50"/>
        <v>5999.9</v>
      </c>
      <c r="H240" s="163">
        <f t="shared" si="50"/>
        <v>6000</v>
      </c>
      <c r="I240" s="163">
        <f t="shared" si="50"/>
        <v>6000.1</v>
      </c>
      <c r="J240" s="163">
        <f t="shared" si="50"/>
        <v>5999.9</v>
      </c>
      <c r="K240" s="163">
        <f t="shared" si="50"/>
        <v>6000</v>
      </c>
      <c r="L240" s="163">
        <f t="shared" si="50"/>
        <v>6000</v>
      </c>
      <c r="M240" s="163">
        <f t="shared" si="50"/>
        <v>6000.1</v>
      </c>
      <c r="N240" s="163">
        <f t="shared" si="50"/>
        <v>6000</v>
      </c>
      <c r="O240" s="163">
        <f>O228+O234</f>
        <v>6000</v>
      </c>
      <c r="P240" s="70">
        <f>SUM(D240:O240)</f>
        <v>71999.899999999994</v>
      </c>
    </row>
    <row r="241" spans="1:94" ht="15.6" x14ac:dyDescent="0.3">
      <c r="A241" s="92"/>
      <c r="B241" s="51"/>
      <c r="C241" s="106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52"/>
    </row>
    <row r="242" spans="1:94" ht="15.6" x14ac:dyDescent="0.3">
      <c r="A242" s="92">
        <f>A240+1</f>
        <v>18</v>
      </c>
      <c r="B242" s="50" t="s">
        <v>260</v>
      </c>
      <c r="C242" s="106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52"/>
    </row>
    <row r="243" spans="1:94" x14ac:dyDescent="0.25">
      <c r="A243" s="92">
        <f>A242+1</f>
        <v>19</v>
      </c>
      <c r="B243" s="51" t="s">
        <v>360</v>
      </c>
      <c r="C243" s="131"/>
      <c r="D243" s="306"/>
      <c r="E243" s="306"/>
      <c r="F243" s="306"/>
      <c r="G243" s="323"/>
      <c r="H243" s="323"/>
      <c r="I243" s="323"/>
      <c r="J243" s="323"/>
      <c r="K243" s="323"/>
      <c r="L243" s="323"/>
      <c r="M243" s="306"/>
      <c r="N243" s="306"/>
      <c r="O243" s="306"/>
      <c r="P243" s="104"/>
    </row>
    <row r="244" spans="1:94" x14ac:dyDescent="0.25">
      <c r="A244" s="92">
        <f>A243+1</f>
        <v>20</v>
      </c>
      <c r="B244" s="330" t="s">
        <v>269</v>
      </c>
      <c r="C244" s="131"/>
      <c r="D244" s="323">
        <v>188859</v>
      </c>
      <c r="E244" s="890">
        <v>169110.1</v>
      </c>
      <c r="F244" s="890">
        <v>147265.60000000001</v>
      </c>
      <c r="G244" s="323">
        <v>103565.2</v>
      </c>
      <c r="H244" s="323">
        <v>83423.100000000006</v>
      </c>
      <c r="I244" s="323">
        <v>69626.2</v>
      </c>
      <c r="J244" s="323">
        <v>68394.7</v>
      </c>
      <c r="K244" s="323">
        <v>69858.100000000006</v>
      </c>
      <c r="L244" s="323">
        <v>76451.3</v>
      </c>
      <c r="M244" s="890">
        <v>101603.3</v>
      </c>
      <c r="N244" s="890">
        <v>139898.5</v>
      </c>
      <c r="O244" s="890">
        <v>162514.9</v>
      </c>
      <c r="P244" s="891">
        <f>SUM(D244:O244)</f>
        <v>1380569.9999999998</v>
      </c>
    </row>
    <row r="245" spans="1:94" x14ac:dyDescent="0.25">
      <c r="A245" s="92">
        <f t="shared" ref="A245:A246" si="51">A244+1</f>
        <v>21</v>
      </c>
      <c r="B245" s="330" t="s">
        <v>650</v>
      </c>
      <c r="C245" s="131"/>
      <c r="D245" s="323">
        <v>0</v>
      </c>
      <c r="E245" s="890">
        <v>0</v>
      </c>
      <c r="F245" s="890">
        <v>0</v>
      </c>
      <c r="G245" s="323">
        <v>0</v>
      </c>
      <c r="H245" s="323">
        <v>0</v>
      </c>
      <c r="I245" s="323">
        <v>0</v>
      </c>
      <c r="J245" s="323">
        <v>0</v>
      </c>
      <c r="K245" s="323">
        <v>0</v>
      </c>
      <c r="L245" s="323">
        <v>0</v>
      </c>
      <c r="M245" s="890">
        <v>0</v>
      </c>
      <c r="N245" s="890">
        <v>0</v>
      </c>
      <c r="O245" s="890">
        <v>0</v>
      </c>
      <c r="P245" s="891">
        <f>SUM(D245:O245)</f>
        <v>0</v>
      </c>
    </row>
    <row r="246" spans="1:94" x14ac:dyDescent="0.25">
      <c r="A246" s="92">
        <f t="shared" si="51"/>
        <v>22</v>
      </c>
      <c r="B246" s="330" t="s">
        <v>651</v>
      </c>
      <c r="C246" s="131"/>
      <c r="D246" s="332">
        <v>0</v>
      </c>
      <c r="E246" s="332">
        <v>0</v>
      </c>
      <c r="F246" s="332">
        <v>0</v>
      </c>
      <c r="G246" s="332">
        <v>0</v>
      </c>
      <c r="H246" s="332">
        <v>0</v>
      </c>
      <c r="I246" s="332">
        <v>0</v>
      </c>
      <c r="J246" s="332">
        <v>0</v>
      </c>
      <c r="K246" s="332">
        <v>0</v>
      </c>
      <c r="L246" s="332">
        <v>0</v>
      </c>
      <c r="M246" s="332">
        <v>0</v>
      </c>
      <c r="N246" s="332">
        <v>0</v>
      </c>
      <c r="O246" s="332">
        <v>0</v>
      </c>
      <c r="P246" s="136">
        <f>SUM(D246:O246)</f>
        <v>0</v>
      </c>
    </row>
    <row r="247" spans="1:94" x14ac:dyDescent="0.25">
      <c r="A247" s="92"/>
      <c r="B247" s="330"/>
      <c r="C247" s="131"/>
      <c r="D247" s="70">
        <f t="shared" ref="D247:N247" si="52">SUM(D244:D246)</f>
        <v>188859</v>
      </c>
      <c r="E247" s="70">
        <f t="shared" si="52"/>
        <v>169110.1</v>
      </c>
      <c r="F247" s="70">
        <f t="shared" si="52"/>
        <v>147265.60000000001</v>
      </c>
      <c r="G247" s="70">
        <f t="shared" si="52"/>
        <v>103565.2</v>
      </c>
      <c r="H247" s="70">
        <f t="shared" si="52"/>
        <v>83423.100000000006</v>
      </c>
      <c r="I247" s="70">
        <f t="shared" si="52"/>
        <v>69626.2</v>
      </c>
      <c r="J247" s="70">
        <f t="shared" si="52"/>
        <v>68394.7</v>
      </c>
      <c r="K247" s="70">
        <f t="shared" si="52"/>
        <v>69858.100000000006</v>
      </c>
      <c r="L247" s="70">
        <f t="shared" si="52"/>
        <v>76451.3</v>
      </c>
      <c r="M247" s="70">
        <f t="shared" si="52"/>
        <v>101603.3</v>
      </c>
      <c r="N247" s="70">
        <f t="shared" si="52"/>
        <v>139898.5</v>
      </c>
      <c r="O247" s="70">
        <f>SUM(O244:O246)</f>
        <v>162514.9</v>
      </c>
      <c r="P247" s="70">
        <f>SUM(D247:O247)</f>
        <v>1380569.9999999998</v>
      </c>
    </row>
    <row r="248" spans="1:94" x14ac:dyDescent="0.25">
      <c r="A248" s="92">
        <f>A246+1</f>
        <v>23</v>
      </c>
      <c r="B248" s="51" t="s">
        <v>244</v>
      </c>
      <c r="C248" s="141" t="s">
        <v>363</v>
      </c>
      <c r="D248" s="323"/>
      <c r="E248" s="323"/>
      <c r="F248" s="323"/>
      <c r="G248" s="323"/>
      <c r="H248" s="323"/>
      <c r="I248" s="323"/>
      <c r="J248" s="323"/>
      <c r="K248" s="323"/>
      <c r="L248" s="323"/>
      <c r="M248" s="323"/>
      <c r="N248" s="323"/>
      <c r="O248" s="323"/>
      <c r="P248" s="70"/>
    </row>
    <row r="249" spans="1:94" x14ac:dyDescent="0.25">
      <c r="A249" s="92">
        <f>A248+1</f>
        <v>24</v>
      </c>
      <c r="B249" s="51" t="str">
        <f>B244</f>
        <v xml:space="preserve">    First 30,000 Mcf</v>
      </c>
      <c r="C249" s="141"/>
      <c r="D249" s="323">
        <v>0</v>
      </c>
      <c r="E249" s="323">
        <v>0</v>
      </c>
      <c r="F249" s="323">
        <v>0</v>
      </c>
      <c r="G249" s="323">
        <v>0</v>
      </c>
      <c r="H249" s="323">
        <v>0</v>
      </c>
      <c r="I249" s="323">
        <v>0</v>
      </c>
      <c r="J249" s="323">
        <v>0</v>
      </c>
      <c r="K249" s="323">
        <v>0</v>
      </c>
      <c r="L249" s="323">
        <v>0</v>
      </c>
      <c r="M249" s="323">
        <v>0</v>
      </c>
      <c r="N249" s="323">
        <v>0</v>
      </c>
      <c r="O249" s="323">
        <v>0</v>
      </c>
      <c r="P249" s="70">
        <f>SUM(D249:O249)</f>
        <v>0</v>
      </c>
    </row>
    <row r="250" spans="1:94" x14ac:dyDescent="0.25">
      <c r="A250" s="92">
        <f>A249+1</f>
        <v>25</v>
      </c>
      <c r="B250" s="51" t="str">
        <f>B245</f>
        <v xml:space="preserve">    Next 70,000 Mcf</v>
      </c>
      <c r="C250" s="141"/>
      <c r="D250" s="323">
        <v>0</v>
      </c>
      <c r="E250" s="323">
        <v>0</v>
      </c>
      <c r="F250" s="323">
        <v>0</v>
      </c>
      <c r="G250" s="323">
        <v>0</v>
      </c>
      <c r="H250" s="323">
        <v>0</v>
      </c>
      <c r="I250" s="323">
        <v>0</v>
      </c>
      <c r="J250" s="323">
        <v>0</v>
      </c>
      <c r="K250" s="323">
        <v>0</v>
      </c>
      <c r="L250" s="323">
        <v>0</v>
      </c>
      <c r="M250" s="323">
        <v>0</v>
      </c>
      <c r="N250" s="323">
        <v>0</v>
      </c>
      <c r="O250" s="323">
        <v>0</v>
      </c>
      <c r="P250" s="70">
        <f>SUM(D250:O250)</f>
        <v>0</v>
      </c>
    </row>
    <row r="251" spans="1:94" x14ac:dyDescent="0.25">
      <c r="A251" s="92">
        <f>A250+1</f>
        <v>26</v>
      </c>
      <c r="B251" s="51" t="str">
        <f>B246</f>
        <v xml:space="preserve">    Over 100,000 Mcf</v>
      </c>
      <c r="C251" s="141"/>
      <c r="D251" s="332">
        <v>0</v>
      </c>
      <c r="E251" s="332">
        <v>0</v>
      </c>
      <c r="F251" s="332">
        <v>0</v>
      </c>
      <c r="G251" s="332">
        <v>0</v>
      </c>
      <c r="H251" s="332">
        <v>0</v>
      </c>
      <c r="I251" s="332">
        <v>0</v>
      </c>
      <c r="J251" s="332">
        <v>0</v>
      </c>
      <c r="K251" s="332">
        <v>0</v>
      </c>
      <c r="L251" s="332">
        <v>0</v>
      </c>
      <c r="M251" s="332">
        <v>0</v>
      </c>
      <c r="N251" s="332">
        <v>0</v>
      </c>
      <c r="O251" s="332">
        <v>0</v>
      </c>
      <c r="P251" s="136">
        <f>SUM(D251:O251)</f>
        <v>0</v>
      </c>
    </row>
    <row r="252" spans="1:94" x14ac:dyDescent="0.25">
      <c r="A252" s="92"/>
      <c r="B252" s="51"/>
      <c r="C252" s="141"/>
      <c r="D252" s="70">
        <f t="shared" ref="D252:N252" si="53">SUM(D249:D251)</f>
        <v>0</v>
      </c>
      <c r="E252" s="70">
        <f t="shared" si="53"/>
        <v>0</v>
      </c>
      <c r="F252" s="70">
        <f t="shared" si="53"/>
        <v>0</v>
      </c>
      <c r="G252" s="70">
        <f t="shared" si="53"/>
        <v>0</v>
      </c>
      <c r="H252" s="70">
        <f t="shared" si="53"/>
        <v>0</v>
      </c>
      <c r="I252" s="70">
        <f t="shared" si="53"/>
        <v>0</v>
      </c>
      <c r="J252" s="70">
        <f t="shared" si="53"/>
        <v>0</v>
      </c>
      <c r="K252" s="70">
        <f t="shared" si="53"/>
        <v>0</v>
      </c>
      <c r="L252" s="70">
        <f t="shared" si="53"/>
        <v>0</v>
      </c>
      <c r="M252" s="70">
        <f t="shared" si="53"/>
        <v>0</v>
      </c>
      <c r="N252" s="70">
        <f t="shared" si="53"/>
        <v>0</v>
      </c>
      <c r="O252" s="70">
        <f>SUM(O249:O251)</f>
        <v>0</v>
      </c>
      <c r="P252" s="70">
        <f>SUM(D252:O252)</f>
        <v>0</v>
      </c>
    </row>
    <row r="253" spans="1:94" s="101" customFormat="1" ht="15.6" x14ac:dyDescent="0.3">
      <c r="A253" s="92">
        <f>A251+1</f>
        <v>27</v>
      </c>
      <c r="B253" s="51" t="s">
        <v>263</v>
      </c>
      <c r="C253" s="106"/>
      <c r="D253" s="103"/>
      <c r="E253" s="103"/>
      <c r="F253" s="103"/>
      <c r="G253" s="70"/>
      <c r="H253" s="70"/>
      <c r="I253" s="70"/>
      <c r="J253" s="70"/>
      <c r="K253" s="70"/>
      <c r="L253" s="70"/>
      <c r="M253" s="103"/>
      <c r="N253" s="103"/>
      <c r="O253" s="103"/>
      <c r="P253" s="104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</row>
    <row r="254" spans="1:94" ht="15.6" x14ac:dyDescent="0.3">
      <c r="A254" s="92">
        <f>A253+1</f>
        <v>28</v>
      </c>
      <c r="B254" s="51" t="str">
        <f>B244</f>
        <v xml:space="preserve">    First 30,000 Mcf</v>
      </c>
      <c r="C254" s="129"/>
      <c r="D254" s="163">
        <f>D244+D249</f>
        <v>188859</v>
      </c>
      <c r="E254" s="163">
        <f t="shared" ref="E254:O255" si="54">E244+E249</f>
        <v>169110.1</v>
      </c>
      <c r="F254" s="163">
        <f t="shared" si="54"/>
        <v>147265.60000000001</v>
      </c>
      <c r="G254" s="163">
        <f t="shared" si="54"/>
        <v>103565.2</v>
      </c>
      <c r="H254" s="163">
        <f t="shared" si="54"/>
        <v>83423.100000000006</v>
      </c>
      <c r="I254" s="163">
        <f t="shared" si="54"/>
        <v>69626.2</v>
      </c>
      <c r="J254" s="163">
        <f t="shared" si="54"/>
        <v>68394.7</v>
      </c>
      <c r="K254" s="163">
        <f t="shared" si="54"/>
        <v>69858.100000000006</v>
      </c>
      <c r="L254" s="163">
        <f t="shared" si="54"/>
        <v>76451.3</v>
      </c>
      <c r="M254" s="163">
        <f t="shared" si="54"/>
        <v>101603.3</v>
      </c>
      <c r="N254" s="163">
        <f t="shared" si="54"/>
        <v>139898.5</v>
      </c>
      <c r="O254" s="163">
        <f t="shared" si="54"/>
        <v>162514.9</v>
      </c>
      <c r="P254" s="103">
        <f>SUM(D254:O254)</f>
        <v>1380569.9999999998</v>
      </c>
      <c r="S254" s="133"/>
    </row>
    <row r="255" spans="1:94" ht="15.6" x14ac:dyDescent="0.3">
      <c r="A255" s="92">
        <f>A254+1</f>
        <v>29</v>
      </c>
      <c r="B255" s="51" t="str">
        <f>B245</f>
        <v xml:space="preserve">    Next 70,000 Mcf</v>
      </c>
      <c r="C255" s="129"/>
      <c r="D255" s="163">
        <f>D245+D250</f>
        <v>0</v>
      </c>
      <c r="E255" s="163">
        <f t="shared" si="54"/>
        <v>0</v>
      </c>
      <c r="F255" s="163">
        <f t="shared" si="54"/>
        <v>0</v>
      </c>
      <c r="G255" s="163">
        <f t="shared" si="54"/>
        <v>0</v>
      </c>
      <c r="H255" s="163">
        <f t="shared" si="54"/>
        <v>0</v>
      </c>
      <c r="I255" s="163">
        <f t="shared" si="54"/>
        <v>0</v>
      </c>
      <c r="J255" s="163">
        <f t="shared" si="54"/>
        <v>0</v>
      </c>
      <c r="K255" s="163">
        <f t="shared" si="54"/>
        <v>0</v>
      </c>
      <c r="L255" s="163">
        <f t="shared" si="54"/>
        <v>0</v>
      </c>
      <c r="M255" s="163">
        <f t="shared" si="54"/>
        <v>0</v>
      </c>
      <c r="N255" s="163">
        <f t="shared" si="54"/>
        <v>0</v>
      </c>
      <c r="O255" s="163">
        <f t="shared" si="54"/>
        <v>0</v>
      </c>
      <c r="P255" s="103">
        <f>SUM(D255:O255)</f>
        <v>0</v>
      </c>
      <c r="S255" s="133"/>
    </row>
    <row r="256" spans="1:94" ht="15.6" x14ac:dyDescent="0.3">
      <c r="A256" s="92">
        <f>A255+1</f>
        <v>30</v>
      </c>
      <c r="B256" s="51" t="str">
        <f>B246</f>
        <v xml:space="preserve">    Over 100,000 Mcf</v>
      </c>
      <c r="C256" s="129"/>
      <c r="D256" s="138">
        <f>D246+D251</f>
        <v>0</v>
      </c>
      <c r="E256" s="138">
        <f t="shared" ref="E256:O256" si="55">E246+E251</f>
        <v>0</v>
      </c>
      <c r="F256" s="138">
        <f t="shared" si="55"/>
        <v>0</v>
      </c>
      <c r="G256" s="138">
        <f t="shared" si="55"/>
        <v>0</v>
      </c>
      <c r="H256" s="138">
        <f t="shared" si="55"/>
        <v>0</v>
      </c>
      <c r="I256" s="138">
        <f t="shared" si="55"/>
        <v>0</v>
      </c>
      <c r="J256" s="138">
        <f t="shared" si="55"/>
        <v>0</v>
      </c>
      <c r="K256" s="138">
        <f t="shared" si="55"/>
        <v>0</v>
      </c>
      <c r="L256" s="138">
        <f t="shared" si="55"/>
        <v>0</v>
      </c>
      <c r="M256" s="138">
        <f t="shared" si="55"/>
        <v>0</v>
      </c>
      <c r="N256" s="138">
        <f t="shared" si="55"/>
        <v>0</v>
      </c>
      <c r="O256" s="138">
        <f t="shared" si="55"/>
        <v>0</v>
      </c>
      <c r="P256" s="136">
        <f>SUM(D256:O256)</f>
        <v>0</v>
      </c>
      <c r="S256" s="133"/>
    </row>
    <row r="257" spans="1:94" ht="15.6" x14ac:dyDescent="0.3">
      <c r="A257" s="92">
        <f>A256+1</f>
        <v>31</v>
      </c>
      <c r="B257" s="51" t="s">
        <v>361</v>
      </c>
      <c r="C257" s="129"/>
      <c r="D257" s="163">
        <f>D247+D252</f>
        <v>188859</v>
      </c>
      <c r="E257" s="163">
        <f t="shared" ref="E257:O257" si="56">E247+E252</f>
        <v>169110.1</v>
      </c>
      <c r="F257" s="163">
        <f t="shared" si="56"/>
        <v>147265.60000000001</v>
      </c>
      <c r="G257" s="163">
        <f t="shared" si="56"/>
        <v>103565.2</v>
      </c>
      <c r="H257" s="163">
        <f t="shared" si="56"/>
        <v>83423.100000000006</v>
      </c>
      <c r="I257" s="163">
        <f t="shared" si="56"/>
        <v>69626.2</v>
      </c>
      <c r="J257" s="163">
        <f t="shared" si="56"/>
        <v>68394.7</v>
      </c>
      <c r="K257" s="163">
        <f t="shared" si="56"/>
        <v>69858.100000000006</v>
      </c>
      <c r="L257" s="163">
        <f t="shared" si="56"/>
        <v>76451.3</v>
      </c>
      <c r="M257" s="163">
        <f t="shared" si="56"/>
        <v>101603.3</v>
      </c>
      <c r="N257" s="163">
        <f t="shared" si="56"/>
        <v>139898.5</v>
      </c>
      <c r="O257" s="163">
        <f t="shared" si="56"/>
        <v>162514.9</v>
      </c>
      <c r="P257" s="70">
        <f>SUM(D257:O257)</f>
        <v>1380569.9999999998</v>
      </c>
      <c r="S257" s="133"/>
    </row>
    <row r="258" spans="1:94" ht="15.6" x14ac:dyDescent="0.3">
      <c r="A258" s="92"/>
      <c r="B258" s="51"/>
      <c r="C258" s="106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52"/>
    </row>
    <row r="259" spans="1:94" ht="15.6" x14ac:dyDescent="0.3">
      <c r="A259" s="92">
        <f>A257+1</f>
        <v>32</v>
      </c>
      <c r="B259" s="50" t="s">
        <v>262</v>
      </c>
      <c r="C259" s="106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52"/>
    </row>
    <row r="260" spans="1:94" x14ac:dyDescent="0.25">
      <c r="A260" s="92">
        <f>A259+1</f>
        <v>33</v>
      </c>
      <c r="B260" s="51" t="s">
        <v>360</v>
      </c>
      <c r="C260" s="131"/>
      <c r="D260" s="306"/>
      <c r="E260" s="306"/>
      <c r="F260" s="306"/>
      <c r="G260" s="323"/>
      <c r="H260" s="323"/>
      <c r="I260" s="323"/>
      <c r="J260" s="323"/>
      <c r="K260" s="323"/>
      <c r="L260" s="323"/>
      <c r="M260" s="306"/>
      <c r="N260" s="306"/>
      <c r="O260" s="306"/>
      <c r="P260" s="104"/>
    </row>
    <row r="261" spans="1:94" x14ac:dyDescent="0.25">
      <c r="A261" s="92">
        <f>A260+1</f>
        <v>34</v>
      </c>
      <c r="B261" s="330" t="s">
        <v>269</v>
      </c>
      <c r="C261" s="131"/>
      <c r="D261" s="323">
        <v>372633.5</v>
      </c>
      <c r="E261" s="306">
        <v>346268.5</v>
      </c>
      <c r="F261" s="306">
        <v>319008.7</v>
      </c>
      <c r="G261" s="323">
        <v>299709.59999999998</v>
      </c>
      <c r="H261" s="323">
        <v>285128.8</v>
      </c>
      <c r="I261" s="323">
        <v>278134.09999999998</v>
      </c>
      <c r="J261" s="323">
        <v>252645.5</v>
      </c>
      <c r="K261" s="323">
        <v>277869.2</v>
      </c>
      <c r="L261" s="323">
        <v>290511.7</v>
      </c>
      <c r="M261" s="306">
        <v>319636.40000000002</v>
      </c>
      <c r="N261" s="306">
        <v>337494</v>
      </c>
      <c r="O261" s="306">
        <v>344941.4</v>
      </c>
      <c r="P261" s="104">
        <f>SUM(D261:O261)</f>
        <v>3723981.4</v>
      </c>
    </row>
    <row r="262" spans="1:94" x14ac:dyDescent="0.25">
      <c r="A262" s="92">
        <f t="shared" ref="A262:A263" si="57">A261+1</f>
        <v>35</v>
      </c>
      <c r="B262" s="330" t="s">
        <v>650</v>
      </c>
      <c r="C262" s="131"/>
      <c r="D262" s="323">
        <f>312276-D263</f>
        <v>157996</v>
      </c>
      <c r="E262" s="890">
        <f>266310-E263</f>
        <v>151150</v>
      </c>
      <c r="F262" s="890">
        <f>216432-F263</f>
        <v>145282</v>
      </c>
      <c r="G262" s="323">
        <f>137874-G263</f>
        <v>110734</v>
      </c>
      <c r="H262" s="323">
        <v>93864</v>
      </c>
      <c r="I262" s="323">
        <v>71370</v>
      </c>
      <c r="J262" s="323">
        <v>52470</v>
      </c>
      <c r="K262" s="323">
        <v>74304</v>
      </c>
      <c r="L262" s="323">
        <v>81150</v>
      </c>
      <c r="M262" s="890">
        <f>144720-M263</f>
        <v>118558</v>
      </c>
      <c r="N262" s="890">
        <f>223938-N263</f>
        <v>143008</v>
      </c>
      <c r="O262" s="890">
        <f>238608-O263</f>
        <v>147898</v>
      </c>
      <c r="P262" s="891">
        <f>SUM(D262:O262)</f>
        <v>1347784</v>
      </c>
    </row>
    <row r="263" spans="1:94" x14ac:dyDescent="0.25">
      <c r="A263" s="92">
        <f t="shared" si="57"/>
        <v>36</v>
      </c>
      <c r="B263" s="330" t="s">
        <v>651</v>
      </c>
      <c r="C263" s="131"/>
      <c r="D263" s="332">
        <v>154280</v>
      </c>
      <c r="E263" s="332">
        <v>115160</v>
      </c>
      <c r="F263" s="332">
        <v>71150</v>
      </c>
      <c r="G263" s="332">
        <v>27140</v>
      </c>
      <c r="H263" s="332">
        <v>0</v>
      </c>
      <c r="I263" s="332">
        <v>0</v>
      </c>
      <c r="J263" s="332">
        <v>0</v>
      </c>
      <c r="K263" s="332">
        <v>0</v>
      </c>
      <c r="L263" s="332">
        <v>0</v>
      </c>
      <c r="M263" s="332">
        <v>26162</v>
      </c>
      <c r="N263" s="332">
        <v>80930</v>
      </c>
      <c r="O263" s="332">
        <v>90710</v>
      </c>
      <c r="P263" s="136">
        <f>SUM(D263:O263)</f>
        <v>565532</v>
      </c>
    </row>
    <row r="264" spans="1:94" x14ac:dyDescent="0.25">
      <c r="A264" s="92"/>
      <c r="B264" s="330"/>
      <c r="C264" s="131"/>
      <c r="D264" s="70">
        <f t="shared" ref="D264:N264" si="58">SUM(D261:D263)</f>
        <v>684909.5</v>
      </c>
      <c r="E264" s="70">
        <f t="shared" si="58"/>
        <v>612578.5</v>
      </c>
      <c r="F264" s="70">
        <f t="shared" si="58"/>
        <v>535440.69999999995</v>
      </c>
      <c r="G264" s="70">
        <f t="shared" si="58"/>
        <v>437583.6</v>
      </c>
      <c r="H264" s="70">
        <f t="shared" si="58"/>
        <v>378992.8</v>
      </c>
      <c r="I264" s="70">
        <f t="shared" si="58"/>
        <v>349504.1</v>
      </c>
      <c r="J264" s="70">
        <f t="shared" si="58"/>
        <v>305115.5</v>
      </c>
      <c r="K264" s="70">
        <f t="shared" si="58"/>
        <v>352173.2</v>
      </c>
      <c r="L264" s="70">
        <f t="shared" si="58"/>
        <v>371661.7</v>
      </c>
      <c r="M264" s="70">
        <f t="shared" si="58"/>
        <v>464356.4</v>
      </c>
      <c r="N264" s="70">
        <f t="shared" si="58"/>
        <v>561432</v>
      </c>
      <c r="O264" s="70">
        <f>SUM(O261:O263)</f>
        <v>583549.4</v>
      </c>
      <c r="P264" s="70">
        <f>SUM(D264:O264)</f>
        <v>5637297.4000000004</v>
      </c>
    </row>
    <row r="265" spans="1:94" x14ac:dyDescent="0.25">
      <c r="A265" s="92">
        <f>A263+1</f>
        <v>37</v>
      </c>
      <c r="B265" s="51" t="s">
        <v>244</v>
      </c>
      <c r="C265" s="141" t="s">
        <v>363</v>
      </c>
      <c r="D265" s="323"/>
      <c r="E265" s="323"/>
      <c r="F265" s="323"/>
      <c r="G265" s="323"/>
      <c r="H265" s="323"/>
      <c r="I265" s="323"/>
      <c r="J265" s="323"/>
      <c r="K265" s="323"/>
      <c r="L265" s="323"/>
      <c r="M265" s="323"/>
      <c r="N265" s="323"/>
      <c r="O265" s="323"/>
      <c r="P265" s="70"/>
    </row>
    <row r="266" spans="1:94" x14ac:dyDescent="0.25">
      <c r="A266" s="92">
        <f>A265+1</f>
        <v>38</v>
      </c>
      <c r="B266" s="51" t="str">
        <f>B261</f>
        <v xml:space="preserve">    First 30,000 Mcf</v>
      </c>
      <c r="C266" s="141"/>
      <c r="D266" s="70">
        <f>'D pg 1'!D57</f>
        <v>-10000</v>
      </c>
      <c r="E266" s="70">
        <f>'D pg 1'!E57</f>
        <v>-10000</v>
      </c>
      <c r="F266" s="70">
        <f>'D pg 1'!F57</f>
        <v>-10000</v>
      </c>
      <c r="G266" s="70">
        <f>'D pg 1'!G57</f>
        <v>-10000</v>
      </c>
      <c r="H266" s="70">
        <f>'D pg 1'!H57</f>
        <v>-10000</v>
      </c>
      <c r="I266" s="70">
        <f>'D pg 1'!I57</f>
        <v>-10000</v>
      </c>
      <c r="J266" s="70">
        <f>'D pg 1'!J57</f>
        <v>-10000</v>
      </c>
      <c r="K266" s="70">
        <f>'D pg 1'!K57</f>
        <v>-10000</v>
      </c>
      <c r="L266" s="70">
        <f>'D pg 1'!L57</f>
        <v>-10000</v>
      </c>
      <c r="M266" s="70">
        <f>'D pg 1'!M57</f>
        <v>-10000</v>
      </c>
      <c r="N266" s="70">
        <f>'D pg 1'!N57</f>
        <v>-10000</v>
      </c>
      <c r="O266" s="70">
        <f>'D pg 1'!O57</f>
        <v>-10000</v>
      </c>
      <c r="P266" s="70">
        <f>SUM(D266:O266)</f>
        <v>-120000</v>
      </c>
    </row>
    <row r="267" spans="1:94" x14ac:dyDescent="0.25">
      <c r="A267" s="92">
        <f t="shared" ref="A267:A268" si="59">A266+1</f>
        <v>39</v>
      </c>
      <c r="B267" s="51" t="str">
        <f>B262</f>
        <v xml:space="preserve">    Next 70,000 Mcf</v>
      </c>
      <c r="C267" s="131"/>
      <c r="D267" s="70">
        <f>'D pg 1'!D58</f>
        <v>0</v>
      </c>
      <c r="E267" s="70">
        <f>'D pg 1'!E58</f>
        <v>0</v>
      </c>
      <c r="F267" s="70">
        <f>'D pg 1'!F58</f>
        <v>0</v>
      </c>
      <c r="G267" s="70">
        <f>'D pg 1'!G58</f>
        <v>0</v>
      </c>
      <c r="H267" s="70">
        <f>'D pg 1'!H58</f>
        <v>0</v>
      </c>
      <c r="I267" s="70">
        <f>'D pg 1'!I58</f>
        <v>0</v>
      </c>
      <c r="J267" s="70">
        <f>'D pg 1'!J58</f>
        <v>0</v>
      </c>
      <c r="K267" s="70">
        <f>'D pg 1'!K58</f>
        <v>0</v>
      </c>
      <c r="L267" s="70">
        <f>'D pg 1'!L58</f>
        <v>0</v>
      </c>
      <c r="M267" s="70">
        <f>'D pg 1'!M58</f>
        <v>0</v>
      </c>
      <c r="N267" s="70">
        <f>'D pg 1'!N58</f>
        <v>0</v>
      </c>
      <c r="O267" s="70">
        <f>'D pg 1'!O58</f>
        <v>0</v>
      </c>
      <c r="P267" s="70">
        <f t="shared" ref="P267:P268" si="60">SUM(D267:O267)</f>
        <v>0</v>
      </c>
    </row>
    <row r="268" spans="1:94" x14ac:dyDescent="0.25">
      <c r="A268" s="92">
        <f t="shared" si="59"/>
        <v>40</v>
      </c>
      <c r="B268" s="51" t="str">
        <f>B263</f>
        <v xml:space="preserve">    Over 100,000 Mcf</v>
      </c>
      <c r="C268" s="141"/>
      <c r="D268" s="136">
        <f>'D pg 1'!D59</f>
        <v>0</v>
      </c>
      <c r="E268" s="136">
        <f>'D pg 1'!E59</f>
        <v>0</v>
      </c>
      <c r="F268" s="136">
        <f>'D pg 1'!F59</f>
        <v>0</v>
      </c>
      <c r="G268" s="136">
        <f>'D pg 1'!G59</f>
        <v>0</v>
      </c>
      <c r="H268" s="136">
        <f>'D pg 1'!H59</f>
        <v>0</v>
      </c>
      <c r="I268" s="136">
        <f>'D pg 1'!I59</f>
        <v>0</v>
      </c>
      <c r="J268" s="136">
        <f>'D pg 1'!J59</f>
        <v>0</v>
      </c>
      <c r="K268" s="136">
        <f>'D pg 1'!K59</f>
        <v>0</v>
      </c>
      <c r="L268" s="136">
        <f>'D pg 1'!L59</f>
        <v>0</v>
      </c>
      <c r="M268" s="136">
        <f>'D pg 1'!M59</f>
        <v>0</v>
      </c>
      <c r="N268" s="136">
        <f>'D pg 1'!N59</f>
        <v>0</v>
      </c>
      <c r="O268" s="136">
        <f>'D pg 1'!O59</f>
        <v>0</v>
      </c>
      <c r="P268" s="136">
        <f t="shared" si="60"/>
        <v>0</v>
      </c>
    </row>
    <row r="269" spans="1:94" x14ac:dyDescent="0.25">
      <c r="A269" s="92"/>
      <c r="B269" s="51"/>
      <c r="C269" s="141"/>
      <c r="D269" s="70">
        <f t="shared" ref="D269:N269" si="61">SUM(D266:D268)</f>
        <v>-10000</v>
      </c>
      <c r="E269" s="70">
        <f t="shared" si="61"/>
        <v>-10000</v>
      </c>
      <c r="F269" s="70">
        <f t="shared" si="61"/>
        <v>-10000</v>
      </c>
      <c r="G269" s="70">
        <f t="shared" si="61"/>
        <v>-10000</v>
      </c>
      <c r="H269" s="70">
        <f t="shared" si="61"/>
        <v>-10000</v>
      </c>
      <c r="I269" s="70">
        <f t="shared" si="61"/>
        <v>-10000</v>
      </c>
      <c r="J269" s="70">
        <f t="shared" si="61"/>
        <v>-10000</v>
      </c>
      <c r="K269" s="70">
        <f t="shared" si="61"/>
        <v>-10000</v>
      </c>
      <c r="L269" s="70">
        <f t="shared" si="61"/>
        <v>-10000</v>
      </c>
      <c r="M269" s="70">
        <f t="shared" si="61"/>
        <v>-10000</v>
      </c>
      <c r="N269" s="70">
        <f t="shared" si="61"/>
        <v>-10000</v>
      </c>
      <c r="O269" s="70">
        <f>SUM(O266:O268)</f>
        <v>-10000</v>
      </c>
      <c r="P269" s="70">
        <f>SUM(D269:O269)</f>
        <v>-120000</v>
      </c>
    </row>
    <row r="270" spans="1:94" s="101" customFormat="1" ht="15.6" x14ac:dyDescent="0.3">
      <c r="A270" s="92">
        <f>A268+1</f>
        <v>41</v>
      </c>
      <c r="B270" s="51" t="s">
        <v>263</v>
      </c>
      <c r="C270" s="106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4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</row>
    <row r="271" spans="1:94" ht="15.6" x14ac:dyDescent="0.3">
      <c r="A271" s="92">
        <f>A270+1</f>
        <v>42</v>
      </c>
      <c r="B271" s="51" t="str">
        <f>B261</f>
        <v xml:space="preserve">    First 30,000 Mcf</v>
      </c>
      <c r="C271" s="129"/>
      <c r="D271" s="163">
        <f>D261+D266</f>
        <v>362633.5</v>
      </c>
      <c r="E271" s="163">
        <f t="shared" ref="E271:O272" si="62">E261+E266</f>
        <v>336268.5</v>
      </c>
      <c r="F271" s="163">
        <f t="shared" si="62"/>
        <v>309008.7</v>
      </c>
      <c r="G271" s="163">
        <f t="shared" si="62"/>
        <v>289709.59999999998</v>
      </c>
      <c r="H271" s="163">
        <f>H261+H266</f>
        <v>275128.8</v>
      </c>
      <c r="I271" s="163">
        <f t="shared" si="62"/>
        <v>268134.09999999998</v>
      </c>
      <c r="J271" s="163">
        <f t="shared" si="62"/>
        <v>242645.5</v>
      </c>
      <c r="K271" s="163">
        <f t="shared" si="62"/>
        <v>267869.2</v>
      </c>
      <c r="L271" s="163">
        <f t="shared" si="62"/>
        <v>280511.7</v>
      </c>
      <c r="M271" s="163">
        <f t="shared" si="62"/>
        <v>309636.40000000002</v>
      </c>
      <c r="N271" s="163">
        <f t="shared" si="62"/>
        <v>327494</v>
      </c>
      <c r="O271" s="163">
        <f t="shared" si="62"/>
        <v>334941.40000000002</v>
      </c>
      <c r="P271" s="103">
        <f>SUM(D271:O271)</f>
        <v>3603981.4</v>
      </c>
      <c r="S271" s="133"/>
    </row>
    <row r="272" spans="1:94" ht="15.6" x14ac:dyDescent="0.3">
      <c r="A272" s="92">
        <f t="shared" ref="A272:A273" si="63">A271+1</f>
        <v>43</v>
      </c>
      <c r="B272" s="51" t="str">
        <f>B262</f>
        <v xml:space="preserve">    Next 70,000 Mcf</v>
      </c>
      <c r="C272" s="129"/>
      <c r="D272" s="163">
        <f>D262+D267</f>
        <v>157996</v>
      </c>
      <c r="E272" s="163">
        <f t="shared" si="62"/>
        <v>151150</v>
      </c>
      <c r="F272" s="163">
        <f t="shared" si="62"/>
        <v>145282</v>
      </c>
      <c r="G272" s="163">
        <f t="shared" si="62"/>
        <v>110734</v>
      </c>
      <c r="H272" s="163">
        <f>H262+H267</f>
        <v>93864</v>
      </c>
      <c r="I272" s="163">
        <f t="shared" si="62"/>
        <v>71370</v>
      </c>
      <c r="J272" s="163">
        <f t="shared" si="62"/>
        <v>52470</v>
      </c>
      <c r="K272" s="163">
        <f t="shared" si="62"/>
        <v>74304</v>
      </c>
      <c r="L272" s="163">
        <f t="shared" si="62"/>
        <v>81150</v>
      </c>
      <c r="M272" s="163">
        <f t="shared" si="62"/>
        <v>118558</v>
      </c>
      <c r="N272" s="163">
        <f t="shared" si="62"/>
        <v>143008</v>
      </c>
      <c r="O272" s="163">
        <f t="shared" si="62"/>
        <v>147898</v>
      </c>
      <c r="P272" s="103">
        <f>SUM(D272:O272)</f>
        <v>1347784</v>
      </c>
      <c r="S272" s="133"/>
    </row>
    <row r="273" spans="1:19" ht="15.6" x14ac:dyDescent="0.3">
      <c r="A273" s="92">
        <f t="shared" si="63"/>
        <v>44</v>
      </c>
      <c r="B273" s="51" t="str">
        <f>B263</f>
        <v xml:space="preserve">    Over 100,000 Mcf</v>
      </c>
      <c r="C273" s="129"/>
      <c r="D273" s="138">
        <f>D263+D268</f>
        <v>154280</v>
      </c>
      <c r="E273" s="138">
        <f t="shared" ref="E273:O273" si="64">E263+E268</f>
        <v>115160</v>
      </c>
      <c r="F273" s="138">
        <f t="shared" si="64"/>
        <v>71150</v>
      </c>
      <c r="G273" s="138">
        <f t="shared" si="64"/>
        <v>27140</v>
      </c>
      <c r="H273" s="138">
        <f t="shared" si="64"/>
        <v>0</v>
      </c>
      <c r="I273" s="138">
        <f t="shared" si="64"/>
        <v>0</v>
      </c>
      <c r="J273" s="138">
        <f t="shared" si="64"/>
        <v>0</v>
      </c>
      <c r="K273" s="138">
        <f t="shared" si="64"/>
        <v>0</v>
      </c>
      <c r="L273" s="138">
        <f t="shared" si="64"/>
        <v>0</v>
      </c>
      <c r="M273" s="138">
        <f t="shared" si="64"/>
        <v>26162</v>
      </c>
      <c r="N273" s="138">
        <f t="shared" si="64"/>
        <v>80930</v>
      </c>
      <c r="O273" s="138">
        <f t="shared" si="64"/>
        <v>90710</v>
      </c>
      <c r="P273" s="136">
        <f>SUM(D273:O273)</f>
        <v>565532</v>
      </c>
      <c r="S273" s="133"/>
    </row>
    <row r="274" spans="1:19" ht="15.6" x14ac:dyDescent="0.3">
      <c r="A274" s="92">
        <f>A273+1</f>
        <v>45</v>
      </c>
      <c r="B274" s="51" t="s">
        <v>361</v>
      </c>
      <c r="C274" s="106"/>
      <c r="D274" s="70">
        <f>D264+D269</f>
        <v>674909.5</v>
      </c>
      <c r="E274" s="70">
        <f t="shared" ref="E274:O274" si="65">E264+E269</f>
        <v>602578.5</v>
      </c>
      <c r="F274" s="70">
        <f t="shared" si="65"/>
        <v>525440.69999999995</v>
      </c>
      <c r="G274" s="70">
        <f t="shared" si="65"/>
        <v>427583.6</v>
      </c>
      <c r="H274" s="70">
        <f t="shared" si="65"/>
        <v>368992.8</v>
      </c>
      <c r="I274" s="70">
        <f t="shared" si="65"/>
        <v>339504.1</v>
      </c>
      <c r="J274" s="70">
        <f t="shared" si="65"/>
        <v>295115.5</v>
      </c>
      <c r="K274" s="70">
        <f t="shared" si="65"/>
        <v>342173.2</v>
      </c>
      <c r="L274" s="70">
        <f t="shared" si="65"/>
        <v>361661.7</v>
      </c>
      <c r="M274" s="70">
        <f t="shared" si="65"/>
        <v>454356.4</v>
      </c>
      <c r="N274" s="70">
        <f t="shared" si="65"/>
        <v>551432</v>
      </c>
      <c r="O274" s="70">
        <f t="shared" si="65"/>
        <v>573549.4</v>
      </c>
      <c r="P274" s="70">
        <f>SUM(D274:O274)</f>
        <v>5517297.4000000004</v>
      </c>
    </row>
    <row r="275" spans="1:19" ht="15.6" x14ac:dyDescent="0.3">
      <c r="A275" s="92"/>
      <c r="B275" s="51"/>
      <c r="C275" s="106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</row>
    <row r="276" spans="1:19" ht="15.6" x14ac:dyDescent="0.3">
      <c r="A276" s="984" t="str">
        <f>CONAME</f>
        <v>Columbia Gas of Kentucky, Inc.</v>
      </c>
      <c r="B276" s="984"/>
      <c r="C276" s="984"/>
      <c r="D276" s="984"/>
      <c r="E276" s="984"/>
      <c r="F276" s="984"/>
      <c r="G276" s="984"/>
      <c r="H276" s="984"/>
      <c r="I276" s="984"/>
      <c r="J276" s="984"/>
      <c r="K276" s="984"/>
      <c r="L276" s="984"/>
      <c r="M276" s="984"/>
      <c r="N276" s="984"/>
      <c r="O276" s="984"/>
      <c r="P276" s="984"/>
    </row>
    <row r="277" spans="1:19" ht="15.6" x14ac:dyDescent="0.3">
      <c r="A277" s="984" t="s">
        <v>197</v>
      </c>
      <c r="B277" s="984"/>
      <c r="C277" s="984"/>
      <c r="D277" s="984"/>
      <c r="E277" s="984"/>
      <c r="F277" s="984"/>
      <c r="G277" s="984"/>
      <c r="H277" s="984"/>
      <c r="I277" s="984"/>
      <c r="J277" s="984"/>
      <c r="K277" s="984"/>
      <c r="L277" s="984"/>
      <c r="M277" s="984"/>
      <c r="N277" s="984"/>
      <c r="O277" s="984"/>
      <c r="P277" s="984"/>
    </row>
    <row r="278" spans="1:19" ht="15.6" x14ac:dyDescent="0.3">
      <c r="A278" s="983" t="str">
        <f>TYDESC</f>
        <v>For the 12 Months Ended December 31, 2017</v>
      </c>
      <c r="B278" s="983"/>
      <c r="C278" s="983"/>
      <c r="D278" s="983"/>
      <c r="E278" s="983"/>
      <c r="F278" s="983"/>
      <c r="G278" s="983"/>
      <c r="H278" s="983"/>
      <c r="I278" s="983"/>
      <c r="J278" s="983"/>
      <c r="K278" s="983"/>
      <c r="L278" s="983"/>
      <c r="M278" s="983"/>
      <c r="N278" s="983"/>
      <c r="O278" s="983"/>
      <c r="P278" s="983"/>
    </row>
    <row r="279" spans="1:19" ht="15.6" x14ac:dyDescent="0.3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</row>
    <row r="280" spans="1:19" ht="15.6" x14ac:dyDescent="0.3">
      <c r="A280" s="98" t="str">
        <f>$A$5</f>
        <v>Data: __ Base Period_X_Forecasted Period</v>
      </c>
      <c r="B280" s="51"/>
      <c r="C280" s="106"/>
      <c r="D280" s="106"/>
      <c r="E280" s="106"/>
      <c r="F280" s="106"/>
      <c r="G280" s="94"/>
      <c r="H280" s="94"/>
      <c r="I280" s="94"/>
      <c r="J280" s="94"/>
      <c r="K280" s="94"/>
      <c r="L280" s="94"/>
      <c r="M280" s="94"/>
      <c r="N280" s="94"/>
      <c r="O280" s="94"/>
      <c r="P280" s="324" t="str">
        <f>$P$5</f>
        <v>Workpaper WPM-C.2</v>
      </c>
    </row>
    <row r="281" spans="1:19" ht="15.6" x14ac:dyDescent="0.3">
      <c r="A281" s="98" t="str">
        <f>$A$6</f>
        <v>Type of Filing: X Original _ Update _ Revised</v>
      </c>
      <c r="B281" s="51"/>
      <c r="C281" s="106"/>
      <c r="D281" s="106"/>
      <c r="E281" s="106"/>
      <c r="F281" s="106"/>
      <c r="G281" s="94"/>
      <c r="H281" s="94"/>
      <c r="I281" s="94"/>
      <c r="J281" s="94"/>
      <c r="K281" s="94"/>
      <c r="L281" s="94"/>
      <c r="M281" s="94"/>
      <c r="N281" s="94"/>
      <c r="O281" s="94"/>
      <c r="P281" s="325" t="s">
        <v>626</v>
      </c>
    </row>
    <row r="282" spans="1:19" ht="15.6" x14ac:dyDescent="0.3">
      <c r="A282" s="98" t="str">
        <f>$A$7</f>
        <v>Work Paper Reference No(s):</v>
      </c>
      <c r="B282" s="51"/>
      <c r="C282" s="106"/>
      <c r="D282" s="106"/>
      <c r="E282" s="106"/>
      <c r="F282" s="106"/>
      <c r="G282" s="94"/>
      <c r="H282" s="94"/>
      <c r="I282" s="94"/>
      <c r="J282" s="94"/>
      <c r="K282" s="94"/>
      <c r="L282" s="94"/>
      <c r="M282" s="94"/>
      <c r="N282" s="94"/>
      <c r="O282" s="94"/>
      <c r="P282" s="325"/>
    </row>
    <row r="283" spans="1:19" ht="15.6" x14ac:dyDescent="0.3">
      <c r="A283" s="130" t="str">
        <f>$A$8</f>
        <v>12 Months Forecasted</v>
      </c>
      <c r="B283" s="122"/>
      <c r="C283" s="106"/>
      <c r="D283" s="326"/>
      <c r="E283" s="106"/>
      <c r="F283" s="327"/>
      <c r="G283" s="328"/>
      <c r="H283" s="327"/>
      <c r="I283" s="329"/>
      <c r="J283" s="327"/>
      <c r="K283" s="327"/>
      <c r="L283" s="327"/>
      <c r="M283" s="327"/>
      <c r="N283" s="327"/>
      <c r="O283" s="327"/>
      <c r="P283" s="308"/>
    </row>
    <row r="284" spans="1:19" ht="15.6" x14ac:dyDescent="0.3">
      <c r="A284" s="99"/>
      <c r="B284" s="122"/>
      <c r="C284" s="106"/>
      <c r="D284" s="326"/>
      <c r="E284" s="106"/>
      <c r="F284" s="327"/>
      <c r="G284" s="328"/>
      <c r="H284" s="327"/>
      <c r="I284" s="329"/>
      <c r="J284" s="327"/>
      <c r="K284" s="327"/>
      <c r="L284" s="327"/>
      <c r="M284" s="327"/>
      <c r="N284" s="327"/>
      <c r="O284" s="327"/>
      <c r="P284" s="308"/>
    </row>
    <row r="285" spans="1:19" ht="15.6" x14ac:dyDescent="0.3">
      <c r="A285" s="122" t="s">
        <v>1</v>
      </c>
      <c r="B285" s="122"/>
      <c r="C285" s="106"/>
      <c r="D285" s="326"/>
      <c r="E285" s="106"/>
      <c r="F285" s="327"/>
      <c r="G285" s="328"/>
      <c r="H285" s="327"/>
      <c r="I285" s="329"/>
      <c r="J285" s="327"/>
      <c r="K285" s="327"/>
      <c r="L285" s="327"/>
      <c r="M285" s="327"/>
      <c r="N285" s="327"/>
      <c r="O285" s="327"/>
      <c r="P285" s="308"/>
    </row>
    <row r="286" spans="1:19" ht="15.6" x14ac:dyDescent="0.3">
      <c r="A286" s="310" t="s">
        <v>3</v>
      </c>
      <c r="B286" s="310" t="s">
        <v>4</v>
      </c>
      <c r="C286" s="311" t="s">
        <v>186</v>
      </c>
      <c r="D286" s="312" t="str">
        <f>B!$D$11</f>
        <v>Jan-17</v>
      </c>
      <c r="E286" s="312" t="str">
        <f>B!$E$11</f>
        <v>Feb-17</v>
      </c>
      <c r="F286" s="312" t="str">
        <f>B!$F$11</f>
        <v>Mar-17</v>
      </c>
      <c r="G286" s="312" t="str">
        <f>B!$G$11</f>
        <v>Apr-17</v>
      </c>
      <c r="H286" s="312" t="str">
        <f>B!$H$11</f>
        <v>May-17</v>
      </c>
      <c r="I286" s="312" t="str">
        <f>B!$I$11</f>
        <v>Jun-17</v>
      </c>
      <c r="J286" s="312" t="str">
        <f>B!$J$11</f>
        <v>Jul-17</v>
      </c>
      <c r="K286" s="312" t="str">
        <f>B!$K$11</f>
        <v>Aug-17</v>
      </c>
      <c r="L286" s="312" t="str">
        <f>B!$L$11</f>
        <v>Sep-17</v>
      </c>
      <c r="M286" s="312" t="str">
        <f>B!$M$11</f>
        <v>Oct-17</v>
      </c>
      <c r="N286" s="312" t="str">
        <f>B!$N$11</f>
        <v>Nov-17</v>
      </c>
      <c r="O286" s="312" t="str">
        <f>B!$O$11</f>
        <v>Dec-17</v>
      </c>
      <c r="P286" s="216" t="s">
        <v>9</v>
      </c>
    </row>
    <row r="287" spans="1:19" ht="15.6" x14ac:dyDescent="0.3">
      <c r="A287" s="122"/>
      <c r="B287" s="133" t="s">
        <v>42</v>
      </c>
      <c r="C287" s="129" t="s">
        <v>43</v>
      </c>
      <c r="D287" s="307" t="s">
        <v>45</v>
      </c>
      <c r="E287" s="307" t="s">
        <v>46</v>
      </c>
      <c r="F287" s="307" t="s">
        <v>49</v>
      </c>
      <c r="G287" s="307" t="s">
        <v>50</v>
      </c>
      <c r="H287" s="307" t="s">
        <v>51</v>
      </c>
      <c r="I287" s="307" t="s">
        <v>52</v>
      </c>
      <c r="J287" s="307" t="s">
        <v>53</v>
      </c>
      <c r="K287" s="134" t="s">
        <v>54</v>
      </c>
      <c r="L287" s="134" t="s">
        <v>55</v>
      </c>
      <c r="M287" s="134" t="s">
        <v>56</v>
      </c>
      <c r="N287" s="134" t="s">
        <v>57</v>
      </c>
      <c r="O287" s="134" t="s">
        <v>58</v>
      </c>
      <c r="P287" s="134" t="s">
        <v>59</v>
      </c>
    </row>
    <row r="288" spans="1:19" ht="15.6" x14ac:dyDescent="0.3">
      <c r="A288" s="122"/>
      <c r="B288" s="133"/>
      <c r="C288" s="129"/>
      <c r="D288" s="307"/>
      <c r="E288" s="307"/>
      <c r="F288" s="307"/>
      <c r="G288" s="307"/>
      <c r="H288" s="307"/>
      <c r="I288" s="307"/>
      <c r="J288" s="307"/>
      <c r="K288" s="134"/>
      <c r="L288" s="134"/>
      <c r="M288" s="134"/>
      <c r="N288" s="134"/>
      <c r="O288" s="134"/>
      <c r="P288" s="134"/>
    </row>
    <row r="289" spans="1:94" ht="15.6" x14ac:dyDescent="0.3">
      <c r="A289" s="92">
        <v>1</v>
      </c>
      <c r="B289" s="50" t="s">
        <v>270</v>
      </c>
      <c r="C289" s="131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51"/>
    </row>
    <row r="290" spans="1:94" x14ac:dyDescent="0.25">
      <c r="A290" s="92">
        <f>A289+1</f>
        <v>2</v>
      </c>
      <c r="B290" s="51" t="s">
        <v>360</v>
      </c>
      <c r="C290" s="131"/>
      <c r="D290" s="306"/>
      <c r="E290" s="306"/>
      <c r="F290" s="306"/>
      <c r="G290" s="323"/>
      <c r="H290" s="323"/>
      <c r="I290" s="323"/>
      <c r="J290" s="323"/>
      <c r="K290" s="323"/>
      <c r="L290" s="323"/>
      <c r="M290" s="306"/>
      <c r="N290" s="306"/>
      <c r="O290" s="306"/>
      <c r="P290" s="104"/>
    </row>
    <row r="291" spans="1:94" x14ac:dyDescent="0.25">
      <c r="A291" s="92">
        <f>A290+1</f>
        <v>3</v>
      </c>
      <c r="B291" s="330" t="s">
        <v>255</v>
      </c>
      <c r="C291" s="131"/>
      <c r="D291" s="323">
        <v>600</v>
      </c>
      <c r="E291" s="306">
        <v>600</v>
      </c>
      <c r="F291" s="306">
        <v>600</v>
      </c>
      <c r="G291" s="323">
        <v>600</v>
      </c>
      <c r="H291" s="323">
        <v>600</v>
      </c>
      <c r="I291" s="323">
        <v>600</v>
      </c>
      <c r="J291" s="323">
        <v>600</v>
      </c>
      <c r="K291" s="323">
        <v>600</v>
      </c>
      <c r="L291" s="323">
        <v>600</v>
      </c>
      <c r="M291" s="306">
        <v>600</v>
      </c>
      <c r="N291" s="306">
        <v>550</v>
      </c>
      <c r="O291" s="306">
        <v>600</v>
      </c>
      <c r="P291" s="104">
        <f>SUM(D291:O291)</f>
        <v>7150</v>
      </c>
    </row>
    <row r="292" spans="1:94" x14ac:dyDescent="0.25">
      <c r="A292" s="92">
        <f>A291+1</f>
        <v>4</v>
      </c>
      <c r="B292" s="330" t="s">
        <v>256</v>
      </c>
      <c r="C292" s="131"/>
      <c r="D292" s="323">
        <v>4200</v>
      </c>
      <c r="E292" s="306">
        <v>4200</v>
      </c>
      <c r="F292" s="306">
        <v>4200</v>
      </c>
      <c r="G292" s="323">
        <v>4182.5</v>
      </c>
      <c r="H292" s="323">
        <v>4127</v>
      </c>
      <c r="I292" s="323">
        <v>4044.2</v>
      </c>
      <c r="J292" s="323">
        <v>3998.9</v>
      </c>
      <c r="K292" s="323">
        <v>3891.4</v>
      </c>
      <c r="L292" s="323">
        <v>4069.2</v>
      </c>
      <c r="M292" s="306">
        <v>4045</v>
      </c>
      <c r="N292" s="306">
        <v>3850</v>
      </c>
      <c r="O292" s="306">
        <v>4200</v>
      </c>
      <c r="P292" s="104">
        <f>SUM(D292:O292)</f>
        <v>49008.2</v>
      </c>
    </row>
    <row r="293" spans="1:94" x14ac:dyDescent="0.25">
      <c r="A293" s="92">
        <f>A292+1</f>
        <v>5</v>
      </c>
      <c r="B293" s="330" t="s">
        <v>257</v>
      </c>
      <c r="C293" s="131"/>
      <c r="D293" s="323">
        <v>7070</v>
      </c>
      <c r="E293" s="306">
        <v>6882.7</v>
      </c>
      <c r="F293" s="306">
        <v>6964.3</v>
      </c>
      <c r="G293" s="323">
        <v>6167.1</v>
      </c>
      <c r="H293" s="323">
        <v>6270.1</v>
      </c>
      <c r="I293" s="323">
        <v>4699.5</v>
      </c>
      <c r="J293" s="323">
        <v>5144.3</v>
      </c>
      <c r="K293" s="323">
        <v>4257.5</v>
      </c>
      <c r="L293" s="323">
        <v>4801.3</v>
      </c>
      <c r="M293" s="306">
        <v>6031.9</v>
      </c>
      <c r="N293" s="306">
        <v>6494.6</v>
      </c>
      <c r="O293" s="306">
        <v>6960.4</v>
      </c>
      <c r="P293" s="104">
        <f>SUM(D293:O293)</f>
        <v>71743.7</v>
      </c>
    </row>
    <row r="294" spans="1:94" ht="16.8" x14ac:dyDescent="0.4">
      <c r="A294" s="92">
        <f>A293+1</f>
        <v>6</v>
      </c>
      <c r="B294" s="330" t="s">
        <v>258</v>
      </c>
      <c r="C294" s="131"/>
      <c r="D294" s="332">
        <v>13932.9</v>
      </c>
      <c r="E294" s="337">
        <v>13803.3</v>
      </c>
      <c r="F294" s="337">
        <v>10302.299999999999</v>
      </c>
      <c r="G294" s="332">
        <v>5333.3</v>
      </c>
      <c r="H294" s="332">
        <v>4075.8</v>
      </c>
      <c r="I294" s="332">
        <v>1525.9</v>
      </c>
      <c r="J294" s="332">
        <v>2402.3000000000002</v>
      </c>
      <c r="K294" s="332">
        <v>1889</v>
      </c>
      <c r="L294" s="332">
        <v>1772.2</v>
      </c>
      <c r="M294" s="337">
        <v>3743.8</v>
      </c>
      <c r="N294" s="337">
        <v>7560.9</v>
      </c>
      <c r="O294" s="337">
        <v>9386.9</v>
      </c>
      <c r="P294" s="336">
        <f>SUM(D294:O294)</f>
        <v>75728.600000000006</v>
      </c>
    </row>
    <row r="295" spans="1:94" x14ac:dyDescent="0.25">
      <c r="A295" s="92"/>
      <c r="B295" s="330"/>
      <c r="C295" s="131"/>
      <c r="D295" s="103">
        <f t="shared" ref="D295:N295" si="66">SUM(D291:D294)</f>
        <v>25802.9</v>
      </c>
      <c r="E295" s="103">
        <f t="shared" si="66"/>
        <v>25486</v>
      </c>
      <c r="F295" s="103">
        <f t="shared" si="66"/>
        <v>22066.6</v>
      </c>
      <c r="G295" s="103">
        <f t="shared" si="66"/>
        <v>16282.900000000001</v>
      </c>
      <c r="H295" s="103">
        <f t="shared" si="66"/>
        <v>15072.900000000001</v>
      </c>
      <c r="I295" s="103">
        <f t="shared" si="66"/>
        <v>10869.6</v>
      </c>
      <c r="J295" s="103">
        <f t="shared" si="66"/>
        <v>12145.5</v>
      </c>
      <c r="K295" s="103">
        <f t="shared" si="66"/>
        <v>10637.9</v>
      </c>
      <c r="L295" s="103">
        <f t="shared" si="66"/>
        <v>11242.7</v>
      </c>
      <c r="M295" s="103">
        <f t="shared" si="66"/>
        <v>14420.7</v>
      </c>
      <c r="N295" s="103">
        <f t="shared" si="66"/>
        <v>18455.5</v>
      </c>
      <c r="O295" s="103">
        <f>SUM(O291:O294)</f>
        <v>21147.3</v>
      </c>
      <c r="P295" s="104">
        <f>SUM(D295:O295)</f>
        <v>203630.5</v>
      </c>
    </row>
    <row r="296" spans="1:94" x14ac:dyDescent="0.25">
      <c r="A296" s="92">
        <f>A294+1</f>
        <v>7</v>
      </c>
      <c r="B296" s="51" t="s">
        <v>244</v>
      </c>
      <c r="C296" s="141" t="s">
        <v>363</v>
      </c>
      <c r="D296" s="323"/>
      <c r="E296" s="323"/>
      <c r="F296" s="323"/>
      <c r="G296" s="323"/>
      <c r="H296" s="323"/>
      <c r="I296" s="323"/>
      <c r="J296" s="323"/>
      <c r="K296" s="323"/>
      <c r="L296" s="323"/>
      <c r="M296" s="323"/>
      <c r="N296" s="323"/>
      <c r="O296" s="323"/>
      <c r="P296" s="70"/>
    </row>
    <row r="297" spans="1:94" x14ac:dyDescent="0.25">
      <c r="A297" s="92">
        <f>A296+1</f>
        <v>8</v>
      </c>
      <c r="B297" s="51" t="str">
        <f>B291</f>
        <v xml:space="preserve">    First 50 Mcf</v>
      </c>
      <c r="C297" s="141"/>
      <c r="D297" s="333">
        <f>'D pg 1'!D43</f>
        <v>0</v>
      </c>
      <c r="E297" s="333">
        <f>'D pg 1'!E43</f>
        <v>0</v>
      </c>
      <c r="F297" s="333">
        <f>'D pg 1'!F43</f>
        <v>0</v>
      </c>
      <c r="G297" s="333">
        <f>'D pg 1'!G43</f>
        <v>0</v>
      </c>
      <c r="H297" s="333">
        <f>'D pg 1'!H43</f>
        <v>0</v>
      </c>
      <c r="I297" s="333">
        <f>'D pg 1'!I43</f>
        <v>0</v>
      </c>
      <c r="J297" s="333">
        <f>'D pg 1'!J43</f>
        <v>0</v>
      </c>
      <c r="K297" s="333">
        <f>'D pg 1'!K43</f>
        <v>0</v>
      </c>
      <c r="L297" s="333">
        <f>'D pg 1'!L43</f>
        <v>0</v>
      </c>
      <c r="M297" s="333">
        <f>'D pg 1'!M43</f>
        <v>0</v>
      </c>
      <c r="N297" s="333">
        <f>'D pg 1'!N43</f>
        <v>0</v>
      </c>
      <c r="O297" s="333">
        <f>'D pg 1'!O43</f>
        <v>0</v>
      </c>
      <c r="P297" s="70">
        <f>SUM(D297:O297)</f>
        <v>0</v>
      </c>
    </row>
    <row r="298" spans="1:94" x14ac:dyDescent="0.25">
      <c r="A298" s="92">
        <f>A297+1</f>
        <v>9</v>
      </c>
      <c r="B298" s="51" t="str">
        <f>B292</f>
        <v xml:space="preserve">    Next 350 Mcf</v>
      </c>
      <c r="C298" s="141"/>
      <c r="D298" s="333">
        <f>'D pg 1'!D44</f>
        <v>0</v>
      </c>
      <c r="E298" s="333">
        <f>'D pg 1'!E44</f>
        <v>0</v>
      </c>
      <c r="F298" s="333">
        <f>'D pg 1'!F44</f>
        <v>0</v>
      </c>
      <c r="G298" s="333">
        <f>'D pg 1'!G44</f>
        <v>0</v>
      </c>
      <c r="H298" s="333">
        <f>'D pg 1'!H44</f>
        <v>0</v>
      </c>
      <c r="I298" s="333">
        <f>'D pg 1'!I44</f>
        <v>0</v>
      </c>
      <c r="J298" s="333">
        <f>'D pg 1'!J44</f>
        <v>0</v>
      </c>
      <c r="K298" s="333">
        <f>'D pg 1'!K44</f>
        <v>0</v>
      </c>
      <c r="L298" s="333">
        <f>'D pg 1'!L44</f>
        <v>0</v>
      </c>
      <c r="M298" s="333">
        <f>'D pg 1'!M44</f>
        <v>0</v>
      </c>
      <c r="N298" s="333">
        <f>'D pg 1'!N44</f>
        <v>0</v>
      </c>
      <c r="O298" s="333">
        <f>'D pg 1'!O44</f>
        <v>0</v>
      </c>
      <c r="P298" s="70">
        <f>SUM(D298:O298)</f>
        <v>0</v>
      </c>
    </row>
    <row r="299" spans="1:94" x14ac:dyDescent="0.25">
      <c r="A299" s="92">
        <f>A298+1</f>
        <v>10</v>
      </c>
      <c r="B299" s="51" t="str">
        <f>B293</f>
        <v xml:space="preserve">    Next 600 Mcf</v>
      </c>
      <c r="C299" s="141"/>
      <c r="D299" s="333">
        <f>'D pg 1'!D45</f>
        <v>0</v>
      </c>
      <c r="E299" s="333">
        <f>'D pg 1'!E45</f>
        <v>0</v>
      </c>
      <c r="F299" s="333">
        <f>'D pg 1'!F45</f>
        <v>0</v>
      </c>
      <c r="G299" s="333">
        <f>'D pg 1'!G45</f>
        <v>0</v>
      </c>
      <c r="H299" s="333">
        <f>'D pg 1'!H45</f>
        <v>0</v>
      </c>
      <c r="I299" s="333">
        <f>'D pg 1'!I45</f>
        <v>0</v>
      </c>
      <c r="J299" s="333">
        <f>'D pg 1'!J45</f>
        <v>0</v>
      </c>
      <c r="K299" s="333">
        <f>'D pg 1'!K45</f>
        <v>0</v>
      </c>
      <c r="L299" s="333">
        <f>'D pg 1'!L45</f>
        <v>0</v>
      </c>
      <c r="M299" s="333">
        <f>'D pg 1'!M45</f>
        <v>0</v>
      </c>
      <c r="N299" s="333">
        <f>'D pg 1'!N45</f>
        <v>0</v>
      </c>
      <c r="O299" s="333">
        <f>'D pg 1'!O45</f>
        <v>0</v>
      </c>
      <c r="P299" s="70">
        <f>SUM(D299:O299)</f>
        <v>0</v>
      </c>
    </row>
    <row r="300" spans="1:94" x14ac:dyDescent="0.25">
      <c r="A300" s="92">
        <f>A299+1</f>
        <v>11</v>
      </c>
      <c r="B300" s="51" t="str">
        <f>B294</f>
        <v xml:space="preserve">    Over 1,000 Mcf</v>
      </c>
      <c r="C300" s="141"/>
      <c r="D300" s="334">
        <f>'D pg 1'!D46</f>
        <v>0</v>
      </c>
      <c r="E300" s="334">
        <f>'D pg 1'!E46</f>
        <v>0</v>
      </c>
      <c r="F300" s="334">
        <f>'D pg 1'!F46</f>
        <v>0</v>
      </c>
      <c r="G300" s="334">
        <f>'D pg 1'!G46</f>
        <v>0</v>
      </c>
      <c r="H300" s="334">
        <f>'D pg 1'!H46</f>
        <v>0</v>
      </c>
      <c r="I300" s="334">
        <f>'D pg 1'!I46</f>
        <v>0</v>
      </c>
      <c r="J300" s="334">
        <f>'D pg 1'!J46</f>
        <v>0</v>
      </c>
      <c r="K300" s="334">
        <f>'D pg 1'!K46</f>
        <v>0</v>
      </c>
      <c r="L300" s="334">
        <f>'D pg 1'!L46</f>
        <v>0</v>
      </c>
      <c r="M300" s="334">
        <f>'D pg 1'!M46</f>
        <v>0</v>
      </c>
      <c r="N300" s="334">
        <f>'D pg 1'!N46</f>
        <v>0</v>
      </c>
      <c r="O300" s="334">
        <f>'D pg 1'!O46</f>
        <v>0</v>
      </c>
      <c r="P300" s="136">
        <f>SUM(D300:O300)</f>
        <v>0</v>
      </c>
    </row>
    <row r="301" spans="1:94" x14ac:dyDescent="0.25">
      <c r="A301" s="92"/>
      <c r="B301" s="51"/>
      <c r="C301" s="141"/>
      <c r="D301" s="70">
        <f t="shared" ref="D301:N301" si="67">SUM(D297:D300)</f>
        <v>0</v>
      </c>
      <c r="E301" s="70">
        <f t="shared" si="67"/>
        <v>0</v>
      </c>
      <c r="F301" s="70">
        <f t="shared" si="67"/>
        <v>0</v>
      </c>
      <c r="G301" s="70">
        <f t="shared" si="67"/>
        <v>0</v>
      </c>
      <c r="H301" s="70">
        <f t="shared" si="67"/>
        <v>0</v>
      </c>
      <c r="I301" s="70">
        <f t="shared" si="67"/>
        <v>0</v>
      </c>
      <c r="J301" s="70">
        <f t="shared" si="67"/>
        <v>0</v>
      </c>
      <c r="K301" s="70">
        <f t="shared" si="67"/>
        <v>0</v>
      </c>
      <c r="L301" s="70">
        <f t="shared" si="67"/>
        <v>0</v>
      </c>
      <c r="M301" s="70">
        <f t="shared" si="67"/>
        <v>0</v>
      </c>
      <c r="N301" s="70">
        <f t="shared" si="67"/>
        <v>0</v>
      </c>
      <c r="O301" s="70">
        <f>SUM(O297:O300)</f>
        <v>0</v>
      </c>
      <c r="P301" s="70">
        <f>SUM(D301:O301)</f>
        <v>0</v>
      </c>
    </row>
    <row r="302" spans="1:94" s="101" customFormat="1" ht="15.6" x14ac:dyDescent="0.3">
      <c r="A302" s="92">
        <f>A300+1</f>
        <v>12</v>
      </c>
      <c r="B302" s="51" t="s">
        <v>263</v>
      </c>
      <c r="C302" s="106"/>
      <c r="D302" s="103"/>
      <c r="E302" s="103"/>
      <c r="F302" s="103"/>
      <c r="G302" s="70"/>
      <c r="H302" s="70"/>
      <c r="I302" s="70"/>
      <c r="J302" s="70"/>
      <c r="K302" s="70"/>
      <c r="L302" s="70"/>
      <c r="M302" s="103"/>
      <c r="N302" s="103"/>
      <c r="O302" s="103"/>
      <c r="P302" s="104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</row>
    <row r="303" spans="1:94" ht="15.6" x14ac:dyDescent="0.3">
      <c r="A303" s="92">
        <f>A302+1</f>
        <v>13</v>
      </c>
      <c r="B303" s="51" t="str">
        <f>B291</f>
        <v xml:space="preserve">    First 50 Mcf</v>
      </c>
      <c r="C303" s="129"/>
      <c r="D303" s="163">
        <f>D291+D297</f>
        <v>600</v>
      </c>
      <c r="E303" s="163">
        <f t="shared" ref="E303:O303" si="68">E291+E297</f>
        <v>600</v>
      </c>
      <c r="F303" s="163">
        <f t="shared" si="68"/>
        <v>600</v>
      </c>
      <c r="G303" s="163">
        <f t="shared" si="68"/>
        <v>600</v>
      </c>
      <c r="H303" s="163">
        <f t="shared" si="68"/>
        <v>600</v>
      </c>
      <c r="I303" s="163">
        <f t="shared" si="68"/>
        <v>600</v>
      </c>
      <c r="J303" s="163">
        <f t="shared" si="68"/>
        <v>600</v>
      </c>
      <c r="K303" s="163">
        <f t="shared" si="68"/>
        <v>600</v>
      </c>
      <c r="L303" s="163">
        <f t="shared" si="68"/>
        <v>600</v>
      </c>
      <c r="M303" s="163">
        <f t="shared" si="68"/>
        <v>600</v>
      </c>
      <c r="N303" s="163">
        <f t="shared" si="68"/>
        <v>550</v>
      </c>
      <c r="O303" s="163">
        <f t="shared" si="68"/>
        <v>600</v>
      </c>
      <c r="P303" s="103">
        <f>SUM(D303:O303)</f>
        <v>7150</v>
      </c>
      <c r="S303" s="133"/>
    </row>
    <row r="304" spans="1:94" ht="15.6" x14ac:dyDescent="0.3">
      <c r="A304" s="92">
        <f>A303+1</f>
        <v>14</v>
      </c>
      <c r="B304" s="51" t="str">
        <f>B292</f>
        <v xml:space="preserve">    Next 350 Mcf</v>
      </c>
      <c r="C304" s="129"/>
      <c r="D304" s="163">
        <f t="shared" ref="D304:O306" si="69">D292+D298</f>
        <v>4200</v>
      </c>
      <c r="E304" s="163">
        <f t="shared" si="69"/>
        <v>4200</v>
      </c>
      <c r="F304" s="163">
        <f t="shared" si="69"/>
        <v>4200</v>
      </c>
      <c r="G304" s="163">
        <f t="shared" si="69"/>
        <v>4182.5</v>
      </c>
      <c r="H304" s="163">
        <f t="shared" si="69"/>
        <v>4127</v>
      </c>
      <c r="I304" s="163">
        <f t="shared" si="69"/>
        <v>4044.2</v>
      </c>
      <c r="J304" s="163">
        <f t="shared" si="69"/>
        <v>3998.9</v>
      </c>
      <c r="K304" s="163">
        <f t="shared" si="69"/>
        <v>3891.4</v>
      </c>
      <c r="L304" s="163">
        <f t="shared" si="69"/>
        <v>4069.2</v>
      </c>
      <c r="M304" s="163">
        <f t="shared" si="69"/>
        <v>4045</v>
      </c>
      <c r="N304" s="163">
        <f t="shared" si="69"/>
        <v>3850</v>
      </c>
      <c r="O304" s="163">
        <f t="shared" si="69"/>
        <v>4200</v>
      </c>
      <c r="P304" s="103">
        <f>SUM(D304:O304)</f>
        <v>49008.2</v>
      </c>
      <c r="S304" s="133"/>
    </row>
    <row r="305" spans="1:19" ht="15.6" x14ac:dyDescent="0.3">
      <c r="A305" s="92">
        <f>A304+1</f>
        <v>15</v>
      </c>
      <c r="B305" s="51" t="str">
        <f>B293</f>
        <v xml:space="preserve">    Next 600 Mcf</v>
      </c>
      <c r="C305" s="129"/>
      <c r="D305" s="163">
        <f t="shared" si="69"/>
        <v>7070</v>
      </c>
      <c r="E305" s="163">
        <f t="shared" si="69"/>
        <v>6882.7</v>
      </c>
      <c r="F305" s="163">
        <f t="shared" si="69"/>
        <v>6964.3</v>
      </c>
      <c r="G305" s="163">
        <f t="shared" si="69"/>
        <v>6167.1</v>
      </c>
      <c r="H305" s="163">
        <f t="shared" si="69"/>
        <v>6270.1</v>
      </c>
      <c r="I305" s="163">
        <f t="shared" si="69"/>
        <v>4699.5</v>
      </c>
      <c r="J305" s="163">
        <f t="shared" si="69"/>
        <v>5144.3</v>
      </c>
      <c r="K305" s="163">
        <f t="shared" si="69"/>
        <v>4257.5</v>
      </c>
      <c r="L305" s="163">
        <f t="shared" si="69"/>
        <v>4801.3</v>
      </c>
      <c r="M305" s="163">
        <f t="shared" si="69"/>
        <v>6031.9</v>
      </c>
      <c r="N305" s="163">
        <f t="shared" si="69"/>
        <v>6494.6</v>
      </c>
      <c r="O305" s="163">
        <f t="shared" si="69"/>
        <v>6960.4</v>
      </c>
      <c r="P305" s="103">
        <f>SUM(D305:O305)</f>
        <v>71743.7</v>
      </c>
      <c r="S305" s="133"/>
    </row>
    <row r="306" spans="1:19" ht="15.6" x14ac:dyDescent="0.3">
      <c r="A306" s="92">
        <f>A305+1</f>
        <v>16</v>
      </c>
      <c r="B306" s="51" t="str">
        <f>B294</f>
        <v xml:space="preserve">    Over 1,000 Mcf</v>
      </c>
      <c r="C306" s="129"/>
      <c r="D306" s="138">
        <f t="shared" si="69"/>
        <v>13932.9</v>
      </c>
      <c r="E306" s="138">
        <f t="shared" si="69"/>
        <v>13803.3</v>
      </c>
      <c r="F306" s="138">
        <f t="shared" si="69"/>
        <v>10302.299999999999</v>
      </c>
      <c r="G306" s="138">
        <f t="shared" si="69"/>
        <v>5333.3</v>
      </c>
      <c r="H306" s="138">
        <f t="shared" si="69"/>
        <v>4075.8</v>
      </c>
      <c r="I306" s="138">
        <f t="shared" si="69"/>
        <v>1525.9</v>
      </c>
      <c r="J306" s="138">
        <f t="shared" si="69"/>
        <v>2402.3000000000002</v>
      </c>
      <c r="K306" s="138">
        <f t="shared" si="69"/>
        <v>1889</v>
      </c>
      <c r="L306" s="138">
        <f t="shared" si="69"/>
        <v>1772.2</v>
      </c>
      <c r="M306" s="138">
        <f t="shared" si="69"/>
        <v>3743.8</v>
      </c>
      <c r="N306" s="138">
        <f t="shared" si="69"/>
        <v>7560.9</v>
      </c>
      <c r="O306" s="138">
        <f t="shared" si="69"/>
        <v>9386.9</v>
      </c>
      <c r="P306" s="136">
        <f>SUM(D306:O306)</f>
        <v>75728.600000000006</v>
      </c>
      <c r="S306" s="133"/>
    </row>
    <row r="307" spans="1:19" ht="15.6" x14ac:dyDescent="0.3">
      <c r="A307" s="92">
        <f>A306+1</f>
        <v>17</v>
      </c>
      <c r="B307" s="51" t="s">
        <v>361</v>
      </c>
      <c r="C307" s="106"/>
      <c r="D307" s="163">
        <f>D295+D301</f>
        <v>25802.9</v>
      </c>
      <c r="E307" s="163">
        <f t="shared" ref="E307:O307" si="70">E295+E301</f>
        <v>25486</v>
      </c>
      <c r="F307" s="163">
        <f t="shared" si="70"/>
        <v>22066.6</v>
      </c>
      <c r="G307" s="163">
        <f t="shared" si="70"/>
        <v>16282.900000000001</v>
      </c>
      <c r="H307" s="163">
        <f t="shared" si="70"/>
        <v>15072.900000000001</v>
      </c>
      <c r="I307" s="163">
        <f t="shared" si="70"/>
        <v>10869.6</v>
      </c>
      <c r="J307" s="163">
        <f t="shared" si="70"/>
        <v>12145.5</v>
      </c>
      <c r="K307" s="163">
        <f t="shared" si="70"/>
        <v>10637.9</v>
      </c>
      <c r="L307" s="163">
        <f t="shared" si="70"/>
        <v>11242.7</v>
      </c>
      <c r="M307" s="163">
        <f t="shared" si="70"/>
        <v>14420.7</v>
      </c>
      <c r="N307" s="163">
        <f t="shared" si="70"/>
        <v>18455.5</v>
      </c>
      <c r="O307" s="163">
        <f t="shared" si="70"/>
        <v>21147.3</v>
      </c>
      <c r="P307" s="70">
        <f>SUM(D307:O307)</f>
        <v>203630.5</v>
      </c>
    </row>
    <row r="308" spans="1:19" ht="15.6" x14ac:dyDescent="0.3">
      <c r="A308" s="92"/>
      <c r="B308" s="51"/>
      <c r="C308" s="106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70"/>
    </row>
    <row r="309" spans="1:19" ht="15.6" x14ac:dyDescent="0.3">
      <c r="A309" s="92">
        <f>A307+1</f>
        <v>18</v>
      </c>
      <c r="B309" s="50" t="s">
        <v>261</v>
      </c>
      <c r="C309" s="131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51"/>
    </row>
    <row r="310" spans="1:19" x14ac:dyDescent="0.25">
      <c r="A310" s="92">
        <f>A309+1</f>
        <v>19</v>
      </c>
      <c r="B310" s="51" t="s">
        <v>360</v>
      </c>
      <c r="C310" s="131"/>
      <c r="D310" s="306"/>
      <c r="E310" s="306"/>
      <c r="F310" s="306"/>
      <c r="G310" s="323"/>
      <c r="H310" s="323"/>
      <c r="I310" s="323"/>
      <c r="J310" s="323"/>
      <c r="K310" s="323"/>
      <c r="L310" s="323"/>
      <c r="M310" s="306"/>
      <c r="N310" s="306"/>
      <c r="O310" s="306"/>
      <c r="P310" s="104"/>
    </row>
    <row r="311" spans="1:19" x14ac:dyDescent="0.25">
      <c r="A311" s="92">
        <f>A310+1</f>
        <v>20</v>
      </c>
      <c r="B311" s="330" t="s">
        <v>255</v>
      </c>
      <c r="C311" s="131"/>
      <c r="D311" s="323">
        <v>609.9</v>
      </c>
      <c r="E311" s="306">
        <v>622.4</v>
      </c>
      <c r="F311" s="306">
        <v>750</v>
      </c>
      <c r="G311" s="323">
        <v>735.6</v>
      </c>
      <c r="H311" s="323">
        <v>694.2</v>
      </c>
      <c r="I311" s="323">
        <v>473.6</v>
      </c>
      <c r="J311" s="323">
        <v>460</v>
      </c>
      <c r="K311" s="323">
        <v>510.6</v>
      </c>
      <c r="L311" s="323">
        <v>530.29999999999995</v>
      </c>
      <c r="M311" s="306">
        <v>604.5</v>
      </c>
      <c r="N311" s="306">
        <v>606.1</v>
      </c>
      <c r="O311" s="306">
        <v>666.9</v>
      </c>
      <c r="P311" s="104">
        <f>SUM(D311:O311)</f>
        <v>7264.1000000000013</v>
      </c>
    </row>
    <row r="312" spans="1:19" x14ac:dyDescent="0.25">
      <c r="A312" s="92">
        <f>A311+1</f>
        <v>21</v>
      </c>
      <c r="B312" s="330" t="s">
        <v>256</v>
      </c>
      <c r="C312" s="131"/>
      <c r="D312" s="323">
        <v>3896.3</v>
      </c>
      <c r="E312" s="306">
        <v>3965.4</v>
      </c>
      <c r="F312" s="306">
        <v>4483.7</v>
      </c>
      <c r="G312" s="323">
        <v>4484.3999999999996</v>
      </c>
      <c r="H312" s="323">
        <v>3857.7</v>
      </c>
      <c r="I312" s="323">
        <v>2799.5</v>
      </c>
      <c r="J312" s="323">
        <v>2736.4</v>
      </c>
      <c r="K312" s="323">
        <v>3003.2</v>
      </c>
      <c r="L312" s="323">
        <v>2907</v>
      </c>
      <c r="M312" s="306">
        <v>3132.7</v>
      </c>
      <c r="N312" s="306">
        <v>3912.5</v>
      </c>
      <c r="O312" s="306">
        <v>4183.5</v>
      </c>
      <c r="P312" s="104">
        <f>SUM(D312:O312)</f>
        <v>43362.3</v>
      </c>
    </row>
    <row r="313" spans="1:19" x14ac:dyDescent="0.25">
      <c r="A313" s="92">
        <f>A312+1</f>
        <v>22</v>
      </c>
      <c r="B313" s="330" t="s">
        <v>257</v>
      </c>
      <c r="C313" s="131"/>
      <c r="D313" s="323">
        <v>5621.7</v>
      </c>
      <c r="E313" s="306">
        <v>5802.3</v>
      </c>
      <c r="F313" s="306">
        <v>6622.1</v>
      </c>
      <c r="G313" s="323">
        <v>5166.3999999999996</v>
      </c>
      <c r="H313" s="323">
        <v>4115.7</v>
      </c>
      <c r="I313" s="323">
        <v>2754.1</v>
      </c>
      <c r="J313" s="323">
        <v>2958.6</v>
      </c>
      <c r="K313" s="323">
        <v>3457.3</v>
      </c>
      <c r="L313" s="323">
        <v>3411.2</v>
      </c>
      <c r="M313" s="306">
        <v>3405.2</v>
      </c>
      <c r="N313" s="306">
        <v>4279.3999999999996</v>
      </c>
      <c r="O313" s="306">
        <v>5280.7</v>
      </c>
      <c r="P313" s="104">
        <f>SUM(D313:O313)</f>
        <v>52874.7</v>
      </c>
    </row>
    <row r="314" spans="1:19" ht="16.8" x14ac:dyDescent="0.4">
      <c r="A314" s="92">
        <f>A313+1</f>
        <v>23</v>
      </c>
      <c r="B314" s="330" t="s">
        <v>258</v>
      </c>
      <c r="C314" s="131"/>
      <c r="D314" s="331">
        <v>7716.4</v>
      </c>
      <c r="E314" s="331">
        <v>6439.2</v>
      </c>
      <c r="F314" s="331">
        <v>7195.5</v>
      </c>
      <c r="G314" s="331">
        <v>3680.8</v>
      </c>
      <c r="H314" s="331">
        <v>4450.7</v>
      </c>
      <c r="I314" s="331">
        <v>2848.5</v>
      </c>
      <c r="J314" s="331">
        <v>1893.4</v>
      </c>
      <c r="K314" s="331">
        <v>2095.6999999999998</v>
      </c>
      <c r="L314" s="331">
        <v>2937.8</v>
      </c>
      <c r="M314" s="331">
        <v>2954.3</v>
      </c>
      <c r="N314" s="331">
        <v>3905</v>
      </c>
      <c r="O314" s="331">
        <v>4849.5</v>
      </c>
      <c r="P314" s="336">
        <f>SUM(D314:O314)</f>
        <v>50966.8</v>
      </c>
    </row>
    <row r="315" spans="1:19" x14ac:dyDescent="0.25">
      <c r="A315" s="92"/>
      <c r="B315" s="330"/>
      <c r="C315" s="131"/>
      <c r="D315" s="103">
        <f t="shared" ref="D315:N315" si="71">SUM(D311:D314)</f>
        <v>17844.3</v>
      </c>
      <c r="E315" s="103">
        <f t="shared" si="71"/>
        <v>16829.3</v>
      </c>
      <c r="F315" s="103">
        <f t="shared" si="71"/>
        <v>19051.3</v>
      </c>
      <c r="G315" s="103">
        <f t="shared" si="71"/>
        <v>14067.2</v>
      </c>
      <c r="H315" s="103">
        <f t="shared" si="71"/>
        <v>13118.3</v>
      </c>
      <c r="I315" s="103">
        <f t="shared" si="71"/>
        <v>8875.7000000000007</v>
      </c>
      <c r="J315" s="103">
        <f t="shared" si="71"/>
        <v>8048.4</v>
      </c>
      <c r="K315" s="103">
        <f t="shared" si="71"/>
        <v>9066.7999999999993</v>
      </c>
      <c r="L315" s="103">
        <f t="shared" si="71"/>
        <v>9786.2999999999993</v>
      </c>
      <c r="M315" s="103">
        <f t="shared" si="71"/>
        <v>10096.700000000001</v>
      </c>
      <c r="N315" s="103">
        <f t="shared" si="71"/>
        <v>12703</v>
      </c>
      <c r="O315" s="103">
        <f>SUM(O311:O314)</f>
        <v>14980.599999999999</v>
      </c>
      <c r="P315" s="104">
        <f>SUM(D315:O315)</f>
        <v>154467.9</v>
      </c>
    </row>
    <row r="316" spans="1:19" x14ac:dyDescent="0.25">
      <c r="A316" s="92">
        <f>A314+1</f>
        <v>24</v>
      </c>
      <c r="B316" s="51" t="s">
        <v>244</v>
      </c>
      <c r="C316" s="141" t="s">
        <v>363</v>
      </c>
      <c r="D316" s="323"/>
      <c r="E316" s="323"/>
      <c r="F316" s="323"/>
      <c r="G316" s="323"/>
      <c r="H316" s="323"/>
      <c r="I316" s="323"/>
      <c r="J316" s="323"/>
      <c r="K316" s="323"/>
      <c r="L316" s="323"/>
      <c r="M316" s="323"/>
      <c r="N316" s="323"/>
      <c r="O316" s="323"/>
      <c r="P316" s="70"/>
    </row>
    <row r="317" spans="1:19" x14ac:dyDescent="0.25">
      <c r="A317" s="92">
        <f>A316+1</f>
        <v>25</v>
      </c>
      <c r="B317" s="51" t="str">
        <f>B311</f>
        <v xml:space="preserve">    First 50 Mcf</v>
      </c>
      <c r="C317" s="141"/>
      <c r="D317" s="70">
        <f>'D pg 1'!D50</f>
        <v>0</v>
      </c>
      <c r="E317" s="70">
        <f>'D pg 1'!E50</f>
        <v>0</v>
      </c>
      <c r="F317" s="70">
        <f>'D pg 1'!F50</f>
        <v>0</v>
      </c>
      <c r="G317" s="70">
        <f>'D pg 1'!G50</f>
        <v>0</v>
      </c>
      <c r="H317" s="70">
        <f>'D pg 1'!H50</f>
        <v>0</v>
      </c>
      <c r="I317" s="70">
        <f>'D pg 1'!I50</f>
        <v>0</v>
      </c>
      <c r="J317" s="70">
        <f>'D pg 1'!J50</f>
        <v>0</v>
      </c>
      <c r="K317" s="70">
        <f>'D pg 1'!K50</f>
        <v>0</v>
      </c>
      <c r="L317" s="70">
        <f>'D pg 1'!L50</f>
        <v>0</v>
      </c>
      <c r="M317" s="70">
        <f>'D pg 1'!M50</f>
        <v>0</v>
      </c>
      <c r="N317" s="70">
        <f>'D pg 1'!N50</f>
        <v>0</v>
      </c>
      <c r="O317" s="70">
        <f>'D pg 1'!O50</f>
        <v>0</v>
      </c>
      <c r="P317" s="70">
        <f>SUM(D317:O317)</f>
        <v>0</v>
      </c>
    </row>
    <row r="318" spans="1:19" x14ac:dyDescent="0.25">
      <c r="A318" s="92">
        <f>A317+1</f>
        <v>26</v>
      </c>
      <c r="B318" s="51" t="str">
        <f>B312</f>
        <v xml:space="preserve">    Next 350 Mcf</v>
      </c>
      <c r="C318" s="141"/>
      <c r="D318" s="70">
        <f>'D pg 1'!D51</f>
        <v>0</v>
      </c>
      <c r="E318" s="70">
        <f>'D pg 1'!E51</f>
        <v>0</v>
      </c>
      <c r="F318" s="70">
        <f>'D pg 1'!F51</f>
        <v>0</v>
      </c>
      <c r="G318" s="70">
        <f>'D pg 1'!G51</f>
        <v>0</v>
      </c>
      <c r="H318" s="70">
        <f>'D pg 1'!H51</f>
        <v>0</v>
      </c>
      <c r="I318" s="70">
        <f>'D pg 1'!I51</f>
        <v>0</v>
      </c>
      <c r="J318" s="70">
        <f>'D pg 1'!J51</f>
        <v>0</v>
      </c>
      <c r="K318" s="70">
        <f>'D pg 1'!K51</f>
        <v>0</v>
      </c>
      <c r="L318" s="70">
        <f>'D pg 1'!L51</f>
        <v>0</v>
      </c>
      <c r="M318" s="70">
        <f>'D pg 1'!M51</f>
        <v>0</v>
      </c>
      <c r="N318" s="70">
        <f>'D pg 1'!N51</f>
        <v>0</v>
      </c>
      <c r="O318" s="70">
        <f>'D pg 1'!O51</f>
        <v>0</v>
      </c>
      <c r="P318" s="70">
        <f>SUM(D318:O318)</f>
        <v>0</v>
      </c>
    </row>
    <row r="319" spans="1:19" x14ac:dyDescent="0.25">
      <c r="A319" s="92">
        <f>A318+1</f>
        <v>27</v>
      </c>
      <c r="B319" s="51" t="str">
        <f>B313</f>
        <v xml:space="preserve">    Next 600 Mcf</v>
      </c>
      <c r="C319" s="141"/>
      <c r="D319" s="70">
        <f>'D pg 1'!D52</f>
        <v>0</v>
      </c>
      <c r="E319" s="70">
        <f>'D pg 1'!E52</f>
        <v>0</v>
      </c>
      <c r="F319" s="70">
        <f>'D pg 1'!F52</f>
        <v>0</v>
      </c>
      <c r="G319" s="70">
        <f>'D pg 1'!G52</f>
        <v>0</v>
      </c>
      <c r="H319" s="70">
        <f>'D pg 1'!H52</f>
        <v>0</v>
      </c>
      <c r="I319" s="70">
        <f>'D pg 1'!I52</f>
        <v>0</v>
      </c>
      <c r="J319" s="70">
        <f>'D pg 1'!J52</f>
        <v>0</v>
      </c>
      <c r="K319" s="70">
        <f>'D pg 1'!K52</f>
        <v>0</v>
      </c>
      <c r="L319" s="70">
        <f>'D pg 1'!L52</f>
        <v>0</v>
      </c>
      <c r="M319" s="70">
        <f>'D pg 1'!M52</f>
        <v>0</v>
      </c>
      <c r="N319" s="70">
        <f>'D pg 1'!N52</f>
        <v>0</v>
      </c>
      <c r="O319" s="70">
        <f>'D pg 1'!O52</f>
        <v>0</v>
      </c>
      <c r="P319" s="70">
        <f>SUM(D319:O319)</f>
        <v>0</v>
      </c>
    </row>
    <row r="320" spans="1:19" x14ac:dyDescent="0.25">
      <c r="A320" s="92">
        <f>A319+1</f>
        <v>28</v>
      </c>
      <c r="B320" s="51" t="str">
        <f>B314</f>
        <v xml:space="preserve">    Over 1,000 Mcf</v>
      </c>
      <c r="C320" s="141"/>
      <c r="D320" s="136">
        <f>'D pg 1'!D53</f>
        <v>0</v>
      </c>
      <c r="E320" s="136">
        <f>'D pg 1'!E53</f>
        <v>0</v>
      </c>
      <c r="F320" s="136">
        <f>'D pg 1'!F53</f>
        <v>0</v>
      </c>
      <c r="G320" s="136">
        <f>'D pg 1'!G53</f>
        <v>0</v>
      </c>
      <c r="H320" s="136">
        <f>'D pg 1'!H53</f>
        <v>0</v>
      </c>
      <c r="I320" s="136">
        <f>'D pg 1'!I53</f>
        <v>0</v>
      </c>
      <c r="J320" s="136">
        <f>'D pg 1'!J53</f>
        <v>0</v>
      </c>
      <c r="K320" s="136">
        <f>'D pg 1'!K53</f>
        <v>0</v>
      </c>
      <c r="L320" s="136">
        <f>'D pg 1'!L53</f>
        <v>0</v>
      </c>
      <c r="M320" s="136">
        <f>'D pg 1'!M53</f>
        <v>0</v>
      </c>
      <c r="N320" s="136">
        <f>'D pg 1'!N53</f>
        <v>0</v>
      </c>
      <c r="O320" s="136">
        <f>'D pg 1'!O53</f>
        <v>0</v>
      </c>
      <c r="P320" s="136">
        <f>SUM(D320:O320)</f>
        <v>0</v>
      </c>
    </row>
    <row r="321" spans="1:18" x14ac:dyDescent="0.25">
      <c r="A321" s="92"/>
      <c r="B321" s="51"/>
      <c r="C321" s="141"/>
      <c r="D321" s="70">
        <f t="shared" ref="D321:N321" si="72">SUM(D317:D320)</f>
        <v>0</v>
      </c>
      <c r="E321" s="70">
        <f t="shared" si="72"/>
        <v>0</v>
      </c>
      <c r="F321" s="70">
        <f t="shared" si="72"/>
        <v>0</v>
      </c>
      <c r="G321" s="70">
        <f t="shared" si="72"/>
        <v>0</v>
      </c>
      <c r="H321" s="70">
        <f t="shared" si="72"/>
        <v>0</v>
      </c>
      <c r="I321" s="70">
        <f t="shared" si="72"/>
        <v>0</v>
      </c>
      <c r="J321" s="70">
        <f t="shared" si="72"/>
        <v>0</v>
      </c>
      <c r="K321" s="70">
        <f t="shared" si="72"/>
        <v>0</v>
      </c>
      <c r="L321" s="70">
        <f t="shared" si="72"/>
        <v>0</v>
      </c>
      <c r="M321" s="70">
        <f t="shared" si="72"/>
        <v>0</v>
      </c>
      <c r="N321" s="70">
        <f t="shared" si="72"/>
        <v>0</v>
      </c>
      <c r="O321" s="70">
        <f>SUM(O317:O320)</f>
        <v>0</v>
      </c>
      <c r="P321" s="70">
        <f>SUM(D321:O321)</f>
        <v>0</v>
      </c>
    </row>
    <row r="322" spans="1:18" ht="15.6" x14ac:dyDescent="0.3">
      <c r="A322" s="92">
        <f>A320+1</f>
        <v>29</v>
      </c>
      <c r="B322" s="51" t="s">
        <v>263</v>
      </c>
      <c r="C322" s="106"/>
      <c r="D322" s="103"/>
      <c r="E322" s="103"/>
      <c r="F322" s="103"/>
      <c r="G322" s="70"/>
      <c r="H322" s="70"/>
      <c r="I322" s="70"/>
      <c r="J322" s="70"/>
      <c r="K322" s="70"/>
      <c r="L322" s="70"/>
      <c r="M322" s="103"/>
      <c r="N322" s="103"/>
      <c r="O322" s="103"/>
      <c r="P322" s="104"/>
    </row>
    <row r="323" spans="1:18" ht="15.6" x14ac:dyDescent="0.3">
      <c r="A323" s="92">
        <f>A322+1</f>
        <v>30</v>
      </c>
      <c r="B323" s="51" t="str">
        <f>B311</f>
        <v xml:space="preserve">    First 50 Mcf</v>
      </c>
      <c r="C323" s="129"/>
      <c r="D323" s="163">
        <f>D311+D317</f>
        <v>609.9</v>
      </c>
      <c r="E323" s="163">
        <f t="shared" ref="E323:O323" si="73">E311+E317</f>
        <v>622.4</v>
      </c>
      <c r="F323" s="163">
        <f t="shared" si="73"/>
        <v>750</v>
      </c>
      <c r="G323" s="163">
        <f t="shared" si="73"/>
        <v>735.6</v>
      </c>
      <c r="H323" s="163">
        <f t="shared" si="73"/>
        <v>694.2</v>
      </c>
      <c r="I323" s="163">
        <f t="shared" si="73"/>
        <v>473.6</v>
      </c>
      <c r="J323" s="163">
        <f t="shared" si="73"/>
        <v>460</v>
      </c>
      <c r="K323" s="163">
        <f t="shared" si="73"/>
        <v>510.6</v>
      </c>
      <c r="L323" s="163">
        <f t="shared" si="73"/>
        <v>530.29999999999995</v>
      </c>
      <c r="M323" s="163">
        <f t="shared" si="73"/>
        <v>604.5</v>
      </c>
      <c r="N323" s="163">
        <f t="shared" si="73"/>
        <v>606.1</v>
      </c>
      <c r="O323" s="163">
        <f t="shared" si="73"/>
        <v>666.9</v>
      </c>
      <c r="P323" s="103">
        <f>SUM(D323:O323)</f>
        <v>7264.1000000000013</v>
      </c>
    </row>
    <row r="324" spans="1:18" ht="15.6" x14ac:dyDescent="0.3">
      <c r="A324" s="92">
        <f>A323+1</f>
        <v>31</v>
      </c>
      <c r="B324" s="51" t="str">
        <f>B312</f>
        <v xml:space="preserve">    Next 350 Mcf</v>
      </c>
      <c r="C324" s="129"/>
      <c r="D324" s="163">
        <f t="shared" ref="D324:O326" si="74">D312+D318</f>
        <v>3896.3</v>
      </c>
      <c r="E324" s="163">
        <f t="shared" si="74"/>
        <v>3965.4</v>
      </c>
      <c r="F324" s="163">
        <f t="shared" si="74"/>
        <v>4483.7</v>
      </c>
      <c r="G324" s="163">
        <f t="shared" si="74"/>
        <v>4484.3999999999996</v>
      </c>
      <c r="H324" s="163">
        <f t="shared" si="74"/>
        <v>3857.7</v>
      </c>
      <c r="I324" s="163">
        <f t="shared" si="74"/>
        <v>2799.5</v>
      </c>
      <c r="J324" s="163">
        <f t="shared" si="74"/>
        <v>2736.4</v>
      </c>
      <c r="K324" s="163">
        <f t="shared" si="74"/>
        <v>3003.2</v>
      </c>
      <c r="L324" s="163">
        <f t="shared" si="74"/>
        <v>2907</v>
      </c>
      <c r="M324" s="163">
        <f t="shared" si="74"/>
        <v>3132.7</v>
      </c>
      <c r="N324" s="163">
        <f t="shared" si="74"/>
        <v>3912.5</v>
      </c>
      <c r="O324" s="163">
        <f t="shared" si="74"/>
        <v>4183.5</v>
      </c>
      <c r="P324" s="103">
        <f>SUM(D324:O324)</f>
        <v>43362.3</v>
      </c>
    </row>
    <row r="325" spans="1:18" ht="15.6" x14ac:dyDescent="0.3">
      <c r="A325" s="92">
        <f>A324+1</f>
        <v>32</v>
      </c>
      <c r="B325" s="51" t="str">
        <f>B313</f>
        <v xml:space="preserve">    Next 600 Mcf</v>
      </c>
      <c r="C325" s="129"/>
      <c r="D325" s="163">
        <f t="shared" si="74"/>
        <v>5621.7</v>
      </c>
      <c r="E325" s="163">
        <f t="shared" si="74"/>
        <v>5802.3</v>
      </c>
      <c r="F325" s="163">
        <f t="shared" si="74"/>
        <v>6622.1</v>
      </c>
      <c r="G325" s="163">
        <f t="shared" si="74"/>
        <v>5166.3999999999996</v>
      </c>
      <c r="H325" s="163">
        <f t="shared" si="74"/>
        <v>4115.7</v>
      </c>
      <c r="I325" s="163">
        <f t="shared" si="74"/>
        <v>2754.1</v>
      </c>
      <c r="J325" s="163">
        <f t="shared" si="74"/>
        <v>2958.6</v>
      </c>
      <c r="K325" s="163">
        <f t="shared" si="74"/>
        <v>3457.3</v>
      </c>
      <c r="L325" s="163">
        <f t="shared" si="74"/>
        <v>3411.2</v>
      </c>
      <c r="M325" s="163">
        <f t="shared" si="74"/>
        <v>3405.2</v>
      </c>
      <c r="N325" s="163">
        <f t="shared" si="74"/>
        <v>4279.3999999999996</v>
      </c>
      <c r="O325" s="163">
        <f t="shared" si="74"/>
        <v>5280.7</v>
      </c>
      <c r="P325" s="103">
        <f>SUM(D325:O325)</f>
        <v>52874.7</v>
      </c>
    </row>
    <row r="326" spans="1:18" ht="15.6" x14ac:dyDescent="0.3">
      <c r="A326" s="92">
        <f>A325+1</f>
        <v>33</v>
      </c>
      <c r="B326" s="51" t="str">
        <f>B314</f>
        <v xml:space="preserve">    Over 1,000 Mcf</v>
      </c>
      <c r="C326" s="129"/>
      <c r="D326" s="138">
        <f t="shared" si="74"/>
        <v>7716.4</v>
      </c>
      <c r="E326" s="138">
        <f t="shared" si="74"/>
        <v>6439.2</v>
      </c>
      <c r="F326" s="138">
        <f t="shared" si="74"/>
        <v>7195.5</v>
      </c>
      <c r="G326" s="138">
        <f t="shared" si="74"/>
        <v>3680.8</v>
      </c>
      <c r="H326" s="138">
        <f t="shared" si="74"/>
        <v>4450.7</v>
      </c>
      <c r="I326" s="138">
        <f t="shared" si="74"/>
        <v>2848.5</v>
      </c>
      <c r="J326" s="138">
        <f t="shared" si="74"/>
        <v>1893.4</v>
      </c>
      <c r="K326" s="138">
        <f t="shared" si="74"/>
        <v>2095.6999999999998</v>
      </c>
      <c r="L326" s="138">
        <f t="shared" si="74"/>
        <v>2937.8</v>
      </c>
      <c r="M326" s="138">
        <f t="shared" si="74"/>
        <v>2954.3</v>
      </c>
      <c r="N326" s="138">
        <f t="shared" si="74"/>
        <v>3905</v>
      </c>
      <c r="O326" s="138">
        <f t="shared" si="74"/>
        <v>4849.5</v>
      </c>
      <c r="P326" s="136">
        <f>SUM(D326:O326)</f>
        <v>50966.8</v>
      </c>
    </row>
    <row r="327" spans="1:18" ht="15.6" x14ac:dyDescent="0.3">
      <c r="A327" s="92">
        <f>A326+1</f>
        <v>34</v>
      </c>
      <c r="B327" s="73" t="s">
        <v>361</v>
      </c>
      <c r="C327" s="129"/>
      <c r="D327" s="163">
        <f>D315+D321</f>
        <v>17844.3</v>
      </c>
      <c r="E327" s="163">
        <f t="shared" ref="E327:O327" si="75">E315+E321</f>
        <v>16829.3</v>
      </c>
      <c r="F327" s="163">
        <f t="shared" si="75"/>
        <v>19051.3</v>
      </c>
      <c r="G327" s="163">
        <f t="shared" si="75"/>
        <v>14067.2</v>
      </c>
      <c r="H327" s="163">
        <f t="shared" si="75"/>
        <v>13118.3</v>
      </c>
      <c r="I327" s="163">
        <f t="shared" si="75"/>
        <v>8875.7000000000007</v>
      </c>
      <c r="J327" s="163">
        <f t="shared" si="75"/>
        <v>8048.4</v>
      </c>
      <c r="K327" s="163">
        <f t="shared" si="75"/>
        <v>9066.7999999999993</v>
      </c>
      <c r="L327" s="163">
        <f t="shared" si="75"/>
        <v>9786.2999999999993</v>
      </c>
      <c r="M327" s="163">
        <f t="shared" si="75"/>
        <v>10096.700000000001</v>
      </c>
      <c r="N327" s="163">
        <f t="shared" si="75"/>
        <v>12703</v>
      </c>
      <c r="O327" s="163">
        <f t="shared" si="75"/>
        <v>14980.599999999999</v>
      </c>
      <c r="P327" s="70">
        <f>SUM(D327:O327)</f>
        <v>154467.9</v>
      </c>
      <c r="R327" s="52"/>
    </row>
    <row r="328" spans="1:18" ht="15.6" x14ac:dyDescent="0.3">
      <c r="A328" s="92"/>
      <c r="B328" s="51"/>
      <c r="C328" s="106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70"/>
    </row>
    <row r="329" spans="1:18" ht="15.6" x14ac:dyDescent="0.3">
      <c r="A329" s="92">
        <f>A327+1</f>
        <v>35</v>
      </c>
      <c r="B329" s="50" t="s">
        <v>271</v>
      </c>
      <c r="C329" s="129"/>
      <c r="D329" s="170"/>
      <c r="E329" s="170"/>
      <c r="F329" s="170"/>
      <c r="G329" s="170"/>
      <c r="H329" s="170"/>
      <c r="I329" s="170"/>
      <c r="J329" s="171"/>
      <c r="K329" s="171"/>
      <c r="L329" s="171"/>
      <c r="M329" s="171"/>
      <c r="N329" s="171"/>
      <c r="O329" s="171"/>
      <c r="P329" s="134"/>
    </row>
    <row r="330" spans="1:18" x14ac:dyDescent="0.25">
      <c r="A330" s="92">
        <f>A329+1</f>
        <v>36</v>
      </c>
      <c r="B330" s="51" t="s">
        <v>360</v>
      </c>
      <c r="C330" s="131"/>
      <c r="D330" s="323">
        <v>58289</v>
      </c>
      <c r="E330" s="323">
        <v>56724</v>
      </c>
      <c r="F330" s="323">
        <v>56724</v>
      </c>
      <c r="G330" s="323">
        <v>57213</v>
      </c>
      <c r="H330" s="323">
        <v>57995</v>
      </c>
      <c r="I330" s="323">
        <v>58484</v>
      </c>
      <c r="J330" s="323">
        <v>55942</v>
      </c>
      <c r="K330" s="323">
        <v>54866</v>
      </c>
      <c r="L330" s="323">
        <v>55746</v>
      </c>
      <c r="M330" s="323">
        <v>58093</v>
      </c>
      <c r="N330" s="323">
        <v>57604</v>
      </c>
      <c r="O330" s="323">
        <v>53301</v>
      </c>
      <c r="P330" s="70">
        <f>SUM(D330:O330)</f>
        <v>680981</v>
      </c>
    </row>
    <row r="331" spans="1:18" x14ac:dyDescent="0.25">
      <c r="A331" s="92">
        <f>A330+1</f>
        <v>37</v>
      </c>
      <c r="B331" s="51" t="s">
        <v>244</v>
      </c>
      <c r="C331" s="141" t="s">
        <v>363</v>
      </c>
      <c r="D331" s="332">
        <v>0</v>
      </c>
      <c r="E331" s="332">
        <v>0</v>
      </c>
      <c r="F331" s="332">
        <v>0</v>
      </c>
      <c r="G331" s="332">
        <v>0</v>
      </c>
      <c r="H331" s="332">
        <v>0</v>
      </c>
      <c r="I331" s="332">
        <v>0</v>
      </c>
      <c r="J331" s="332">
        <v>0</v>
      </c>
      <c r="K331" s="332">
        <v>0</v>
      </c>
      <c r="L331" s="332">
        <v>0</v>
      </c>
      <c r="M331" s="332">
        <v>0</v>
      </c>
      <c r="N331" s="332">
        <v>0</v>
      </c>
      <c r="O331" s="332">
        <v>0</v>
      </c>
      <c r="P331" s="136">
        <f>SUM(D331:O331)</f>
        <v>0</v>
      </c>
    </row>
    <row r="332" spans="1:18" ht="15.6" x14ac:dyDescent="0.3">
      <c r="A332" s="92">
        <f>A331+1</f>
        <v>38</v>
      </c>
      <c r="B332" s="51" t="s">
        <v>263</v>
      </c>
      <c r="C332" s="106"/>
      <c r="D332" s="70">
        <f t="shared" ref="D332:O332" si="76">SUM(D330:D331)</f>
        <v>58289</v>
      </c>
      <c r="E332" s="70">
        <f t="shared" si="76"/>
        <v>56724</v>
      </c>
      <c r="F332" s="70">
        <f t="shared" si="76"/>
        <v>56724</v>
      </c>
      <c r="G332" s="70">
        <f t="shared" si="76"/>
        <v>57213</v>
      </c>
      <c r="H332" s="70">
        <f t="shared" si="76"/>
        <v>57995</v>
      </c>
      <c r="I332" s="70">
        <f t="shared" si="76"/>
        <v>58484</v>
      </c>
      <c r="J332" s="70">
        <f t="shared" si="76"/>
        <v>55942</v>
      </c>
      <c r="K332" s="70">
        <f t="shared" si="76"/>
        <v>54866</v>
      </c>
      <c r="L332" s="70">
        <f t="shared" si="76"/>
        <v>55746</v>
      </c>
      <c r="M332" s="70">
        <f t="shared" si="76"/>
        <v>58093</v>
      </c>
      <c r="N332" s="70">
        <f t="shared" si="76"/>
        <v>57604</v>
      </c>
      <c r="O332" s="70">
        <f t="shared" si="76"/>
        <v>53301</v>
      </c>
      <c r="P332" s="70">
        <f>SUM(D332:O332)</f>
        <v>680981</v>
      </c>
    </row>
    <row r="333" spans="1:18" ht="15.6" x14ac:dyDescent="0.3">
      <c r="A333" s="92"/>
      <c r="B333" s="51"/>
      <c r="C333" s="106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70"/>
    </row>
    <row r="334" spans="1:18" ht="15.6" x14ac:dyDescent="0.3">
      <c r="A334" s="92">
        <f>A332+1</f>
        <v>39</v>
      </c>
      <c r="B334" s="50" t="s">
        <v>272</v>
      </c>
      <c r="C334" s="129"/>
      <c r="D334" s="170"/>
      <c r="E334" s="170"/>
      <c r="F334" s="170"/>
      <c r="G334" s="170"/>
      <c r="H334" s="170"/>
      <c r="I334" s="170"/>
      <c r="J334" s="171"/>
      <c r="K334" s="171"/>
      <c r="L334" s="171"/>
      <c r="M334" s="171"/>
      <c r="N334" s="171"/>
      <c r="O334" s="171"/>
      <c r="P334" s="134"/>
    </row>
    <row r="335" spans="1:18" x14ac:dyDescent="0.25">
      <c r="A335" s="92">
        <f>A334+1</f>
        <v>40</v>
      </c>
      <c r="B335" s="51" t="s">
        <v>360</v>
      </c>
      <c r="C335" s="131"/>
      <c r="D335" s="323">
        <v>74328</v>
      </c>
      <c r="E335" s="323">
        <v>58680</v>
      </c>
      <c r="F335" s="323">
        <v>70416</v>
      </c>
      <c r="G335" s="323">
        <v>34230</v>
      </c>
      <c r="H335" s="323">
        <v>29340</v>
      </c>
      <c r="I335" s="323">
        <v>29340</v>
      </c>
      <c r="J335" s="323">
        <v>29340</v>
      </c>
      <c r="K335" s="323">
        <v>29340</v>
      </c>
      <c r="L335" s="323">
        <v>34230</v>
      </c>
      <c r="M335" s="323">
        <v>39120</v>
      </c>
      <c r="N335" s="323">
        <v>49878</v>
      </c>
      <c r="O335" s="323">
        <v>63570</v>
      </c>
      <c r="P335" s="70">
        <f>SUM(D335:O335)</f>
        <v>541812</v>
      </c>
    </row>
    <row r="336" spans="1:18" x14ac:dyDescent="0.25">
      <c r="A336" s="92">
        <f>A335+1</f>
        <v>41</v>
      </c>
      <c r="B336" s="51" t="s">
        <v>244</v>
      </c>
      <c r="C336" s="141" t="s">
        <v>363</v>
      </c>
      <c r="D336" s="332">
        <v>0</v>
      </c>
      <c r="E336" s="332">
        <v>0</v>
      </c>
      <c r="F336" s="332">
        <v>0</v>
      </c>
      <c r="G336" s="332">
        <v>0</v>
      </c>
      <c r="H336" s="332">
        <v>0</v>
      </c>
      <c r="I336" s="332">
        <v>0</v>
      </c>
      <c r="J336" s="332">
        <v>0</v>
      </c>
      <c r="K336" s="332">
        <v>0</v>
      </c>
      <c r="L336" s="332">
        <v>0</v>
      </c>
      <c r="M336" s="332">
        <v>0</v>
      </c>
      <c r="N336" s="332">
        <v>0</v>
      </c>
      <c r="O336" s="332">
        <v>0</v>
      </c>
      <c r="P336" s="136">
        <f>SUM(D336:O336)</f>
        <v>0</v>
      </c>
    </row>
    <row r="337" spans="1:19" ht="15.6" x14ac:dyDescent="0.3">
      <c r="A337" s="92">
        <f>A336+1</f>
        <v>42</v>
      </c>
      <c r="B337" s="51" t="s">
        <v>263</v>
      </c>
      <c r="C337" s="106"/>
      <c r="D337" s="70">
        <f t="shared" ref="D337:O337" si="77">SUM(D335:D336)</f>
        <v>74328</v>
      </c>
      <c r="E337" s="70">
        <f t="shared" si="77"/>
        <v>58680</v>
      </c>
      <c r="F337" s="70">
        <f t="shared" si="77"/>
        <v>70416</v>
      </c>
      <c r="G337" s="70">
        <f t="shared" si="77"/>
        <v>34230</v>
      </c>
      <c r="H337" s="70">
        <f t="shared" si="77"/>
        <v>29340</v>
      </c>
      <c r="I337" s="70">
        <f t="shared" si="77"/>
        <v>29340</v>
      </c>
      <c r="J337" s="70">
        <f t="shared" si="77"/>
        <v>29340</v>
      </c>
      <c r="K337" s="70">
        <f t="shared" si="77"/>
        <v>29340</v>
      </c>
      <c r="L337" s="70">
        <f t="shared" si="77"/>
        <v>34230</v>
      </c>
      <c r="M337" s="70">
        <f t="shared" si="77"/>
        <v>39120</v>
      </c>
      <c r="N337" s="70">
        <f t="shared" si="77"/>
        <v>49878</v>
      </c>
      <c r="O337" s="70">
        <f t="shared" si="77"/>
        <v>63570</v>
      </c>
      <c r="P337" s="70">
        <f>SUM(D337:O337)</f>
        <v>541812</v>
      </c>
    </row>
    <row r="338" spans="1:19" ht="15.6" x14ac:dyDescent="0.3">
      <c r="A338" s="92"/>
      <c r="B338" s="51"/>
      <c r="C338" s="106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52"/>
    </row>
    <row r="339" spans="1:19" ht="15.6" x14ac:dyDescent="0.3">
      <c r="A339" s="984" t="str">
        <f>CONAME</f>
        <v>Columbia Gas of Kentucky, Inc.</v>
      </c>
      <c r="B339" s="984"/>
      <c r="C339" s="984"/>
      <c r="D339" s="984"/>
      <c r="E339" s="984"/>
      <c r="F339" s="984"/>
      <c r="G339" s="984"/>
      <c r="H339" s="984"/>
      <c r="I339" s="984"/>
      <c r="J339" s="984"/>
      <c r="K339" s="984"/>
      <c r="L339" s="984"/>
      <c r="M339" s="984"/>
      <c r="N339" s="984"/>
      <c r="O339" s="984"/>
      <c r="P339" s="984"/>
    </row>
    <row r="340" spans="1:19" ht="15.6" x14ac:dyDescent="0.3">
      <c r="A340" s="984" t="s">
        <v>197</v>
      </c>
      <c r="B340" s="984"/>
      <c r="C340" s="984"/>
      <c r="D340" s="984"/>
      <c r="E340" s="984"/>
      <c r="F340" s="984"/>
      <c r="G340" s="984"/>
      <c r="H340" s="984"/>
      <c r="I340" s="984"/>
      <c r="J340" s="984"/>
      <c r="K340" s="984"/>
      <c r="L340" s="984"/>
      <c r="M340" s="984"/>
      <c r="N340" s="984"/>
      <c r="O340" s="984"/>
      <c r="P340" s="984"/>
    </row>
    <row r="341" spans="1:19" ht="15.6" x14ac:dyDescent="0.3">
      <c r="A341" s="983" t="str">
        <f>TYDESC</f>
        <v>For the 12 Months Ended December 31, 2017</v>
      </c>
      <c r="B341" s="983"/>
      <c r="C341" s="983"/>
      <c r="D341" s="983"/>
      <c r="E341" s="983"/>
      <c r="F341" s="983"/>
      <c r="G341" s="983"/>
      <c r="H341" s="983"/>
      <c r="I341" s="983"/>
      <c r="J341" s="983"/>
      <c r="K341" s="983"/>
      <c r="L341" s="983"/>
      <c r="M341" s="983"/>
      <c r="N341" s="983"/>
      <c r="O341" s="983"/>
      <c r="P341" s="983"/>
    </row>
    <row r="342" spans="1:19" ht="15.6" x14ac:dyDescent="0.3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1:19" ht="15.6" x14ac:dyDescent="0.3">
      <c r="A343" s="98" t="str">
        <f>$A$5</f>
        <v>Data: __ Base Period_X_Forecasted Period</v>
      </c>
      <c r="B343" s="51"/>
      <c r="C343" s="106"/>
      <c r="D343" s="106"/>
      <c r="E343" s="106"/>
      <c r="F343" s="106"/>
      <c r="G343" s="94"/>
      <c r="H343" s="94"/>
      <c r="I343" s="94"/>
      <c r="J343" s="94"/>
      <c r="K343" s="94"/>
      <c r="L343" s="94"/>
      <c r="M343" s="94"/>
      <c r="N343" s="94"/>
      <c r="O343" s="94"/>
      <c r="P343" s="324" t="str">
        <f>$P$5</f>
        <v>Workpaper WPM-C.2</v>
      </c>
    </row>
    <row r="344" spans="1:19" ht="15.6" x14ac:dyDescent="0.3">
      <c r="A344" s="98" t="str">
        <f>$A$6</f>
        <v>Type of Filing: X Original _ Update _ Revised</v>
      </c>
      <c r="B344" s="51"/>
      <c r="C344" s="106"/>
      <c r="D344" s="106"/>
      <c r="E344" s="106"/>
      <c r="F344" s="106"/>
      <c r="G344" s="94"/>
      <c r="H344" s="94"/>
      <c r="I344" s="94"/>
      <c r="J344" s="94"/>
      <c r="K344" s="94"/>
      <c r="L344" s="94"/>
      <c r="M344" s="94"/>
      <c r="N344" s="94"/>
      <c r="O344" s="94"/>
      <c r="P344" s="325" t="s">
        <v>369</v>
      </c>
    </row>
    <row r="345" spans="1:19" ht="15.6" x14ac:dyDescent="0.3">
      <c r="A345" s="98" t="str">
        <f>$A$7</f>
        <v>Work Paper Reference No(s):</v>
      </c>
      <c r="B345" s="51"/>
      <c r="C345" s="106"/>
      <c r="D345" s="106"/>
      <c r="E345" s="106"/>
      <c r="F345" s="106"/>
      <c r="G345" s="94"/>
      <c r="H345" s="94"/>
      <c r="I345" s="94"/>
      <c r="J345" s="94"/>
      <c r="K345" s="94"/>
      <c r="L345" s="94"/>
      <c r="M345" s="94"/>
      <c r="N345" s="94"/>
      <c r="O345" s="94"/>
      <c r="P345" s="325"/>
    </row>
    <row r="346" spans="1:19" ht="15.6" x14ac:dyDescent="0.3">
      <c r="A346" s="130" t="str">
        <f>$A$8</f>
        <v>12 Months Forecasted</v>
      </c>
      <c r="B346" s="122"/>
      <c r="C346" s="106"/>
      <c r="D346" s="326"/>
      <c r="E346" s="106"/>
      <c r="F346" s="327"/>
      <c r="G346" s="328"/>
      <c r="H346" s="327"/>
      <c r="I346" s="329"/>
      <c r="J346" s="327"/>
      <c r="K346" s="327"/>
      <c r="L346" s="327"/>
      <c r="M346" s="327"/>
      <c r="N346" s="327"/>
      <c r="O346" s="327"/>
      <c r="P346" s="308"/>
      <c r="Q346" s="122"/>
      <c r="R346" s="122"/>
    </row>
    <row r="347" spans="1:19" ht="15.6" x14ac:dyDescent="0.3">
      <c r="A347" s="99"/>
      <c r="B347" s="122"/>
      <c r="C347" s="106"/>
      <c r="D347" s="326"/>
      <c r="E347" s="106"/>
      <c r="F347" s="327"/>
      <c r="G347" s="328"/>
      <c r="H347" s="327"/>
      <c r="I347" s="329"/>
      <c r="J347" s="327"/>
      <c r="K347" s="327"/>
      <c r="L347" s="327"/>
      <c r="M347" s="327"/>
      <c r="N347" s="327"/>
      <c r="O347" s="327"/>
      <c r="P347" s="308"/>
      <c r="Q347" s="122"/>
      <c r="R347" s="122"/>
    </row>
    <row r="348" spans="1:19" ht="15.6" x14ac:dyDescent="0.3">
      <c r="A348" s="122" t="s">
        <v>1</v>
      </c>
      <c r="B348" s="122"/>
      <c r="C348" s="106"/>
      <c r="D348" s="326"/>
      <c r="E348" s="106"/>
      <c r="F348" s="327"/>
      <c r="G348" s="328"/>
      <c r="H348" s="327"/>
      <c r="I348" s="329"/>
      <c r="J348" s="327"/>
      <c r="K348" s="327"/>
      <c r="L348" s="327"/>
      <c r="M348" s="327"/>
      <c r="N348" s="327"/>
      <c r="O348" s="327"/>
      <c r="P348" s="308"/>
      <c r="Q348" s="133"/>
      <c r="R348" s="133"/>
    </row>
    <row r="349" spans="1:19" ht="15.6" x14ac:dyDescent="0.3">
      <c r="A349" s="310" t="s">
        <v>3</v>
      </c>
      <c r="B349" s="310" t="s">
        <v>4</v>
      </c>
      <c r="C349" s="311" t="s">
        <v>186</v>
      </c>
      <c r="D349" s="312" t="str">
        <f>B!$D$11</f>
        <v>Jan-17</v>
      </c>
      <c r="E349" s="312" t="str">
        <f>B!$E$11</f>
        <v>Feb-17</v>
      </c>
      <c r="F349" s="312" t="str">
        <f>B!$F$11</f>
        <v>Mar-17</v>
      </c>
      <c r="G349" s="312" t="str">
        <f>B!$G$11</f>
        <v>Apr-17</v>
      </c>
      <c r="H349" s="312" t="str">
        <f>B!$H$11</f>
        <v>May-17</v>
      </c>
      <c r="I349" s="312" t="str">
        <f>B!$I$11</f>
        <v>Jun-17</v>
      </c>
      <c r="J349" s="312" t="str">
        <f>B!$J$11</f>
        <v>Jul-17</v>
      </c>
      <c r="K349" s="312" t="str">
        <f>B!$K$11</f>
        <v>Aug-17</v>
      </c>
      <c r="L349" s="312" t="str">
        <f>B!$L$11</f>
        <v>Sep-17</v>
      </c>
      <c r="M349" s="312" t="str">
        <f>B!$M$11</f>
        <v>Oct-17</v>
      </c>
      <c r="N349" s="312" t="str">
        <f>B!$N$11</f>
        <v>Nov-17</v>
      </c>
      <c r="O349" s="312" t="str">
        <f>B!$O$11</f>
        <v>Dec-17</v>
      </c>
      <c r="P349" s="216" t="s">
        <v>9</v>
      </c>
      <c r="S349" s="213"/>
    </row>
    <row r="350" spans="1:19" ht="15.6" x14ac:dyDescent="0.3">
      <c r="A350" s="122"/>
      <c r="B350" s="133" t="s">
        <v>42</v>
      </c>
      <c r="C350" s="129" t="s">
        <v>43</v>
      </c>
      <c r="D350" s="307" t="s">
        <v>45</v>
      </c>
      <c r="E350" s="307" t="s">
        <v>46</v>
      </c>
      <c r="F350" s="307" t="s">
        <v>49</v>
      </c>
      <c r="G350" s="307" t="s">
        <v>50</v>
      </c>
      <c r="H350" s="307" t="s">
        <v>51</v>
      </c>
      <c r="I350" s="307" t="s">
        <v>52</v>
      </c>
      <c r="J350" s="307" t="s">
        <v>53</v>
      </c>
      <c r="K350" s="134" t="s">
        <v>54</v>
      </c>
      <c r="L350" s="134" t="s">
        <v>55</v>
      </c>
      <c r="M350" s="134" t="s">
        <v>56</v>
      </c>
      <c r="N350" s="134" t="s">
        <v>57</v>
      </c>
      <c r="O350" s="134" t="s">
        <v>58</v>
      </c>
      <c r="P350" s="134" t="s">
        <v>59</v>
      </c>
      <c r="S350" s="133"/>
    </row>
    <row r="351" spans="1:19" ht="15.6" x14ac:dyDescent="0.3">
      <c r="A351" s="92"/>
      <c r="B351" s="51"/>
      <c r="C351" s="106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52"/>
    </row>
    <row r="352" spans="1:19" ht="15.6" x14ac:dyDescent="0.3">
      <c r="A352" s="92">
        <v>1</v>
      </c>
      <c r="B352" s="50" t="s">
        <v>273</v>
      </c>
      <c r="C352" s="129"/>
      <c r="D352" s="170"/>
      <c r="E352" s="170"/>
      <c r="F352" s="170"/>
      <c r="G352" s="170"/>
      <c r="H352" s="170"/>
      <c r="I352" s="170"/>
      <c r="J352" s="171"/>
      <c r="K352" s="171"/>
      <c r="L352" s="171"/>
      <c r="M352" s="171"/>
      <c r="N352" s="171"/>
      <c r="O352" s="171"/>
      <c r="P352" s="134"/>
      <c r="S352" s="133"/>
    </row>
    <row r="353" spans="1:19" x14ac:dyDescent="0.25">
      <c r="A353" s="92">
        <f>A352+1</f>
        <v>2</v>
      </c>
      <c r="B353" s="51" t="s">
        <v>360</v>
      </c>
      <c r="C353" s="131"/>
      <c r="D353" s="323">
        <v>44010</v>
      </c>
      <c r="E353" s="323">
        <v>56724</v>
      </c>
      <c r="F353" s="323">
        <v>33252</v>
      </c>
      <c r="G353" s="323">
        <v>47922</v>
      </c>
      <c r="H353" s="323">
        <v>37164</v>
      </c>
      <c r="I353" s="323">
        <v>37164</v>
      </c>
      <c r="J353" s="323">
        <v>39120</v>
      </c>
      <c r="K353" s="323">
        <v>37164</v>
      </c>
      <c r="L353" s="323">
        <v>41076</v>
      </c>
      <c r="M353" s="323">
        <v>50856</v>
      </c>
      <c r="N353" s="323">
        <v>54768</v>
      </c>
      <c r="O353" s="323">
        <v>54768</v>
      </c>
      <c r="P353" s="70">
        <f>SUM(D353:O353)</f>
        <v>533988</v>
      </c>
    </row>
    <row r="354" spans="1:19" x14ac:dyDescent="0.25">
      <c r="A354" s="92">
        <f>A353+1</f>
        <v>3</v>
      </c>
      <c r="B354" s="51" t="s">
        <v>244</v>
      </c>
      <c r="C354" s="141" t="s">
        <v>363</v>
      </c>
      <c r="D354" s="332">
        <v>0</v>
      </c>
      <c r="E354" s="332">
        <v>0</v>
      </c>
      <c r="F354" s="332">
        <v>0</v>
      </c>
      <c r="G354" s="332">
        <v>0</v>
      </c>
      <c r="H354" s="332">
        <v>0</v>
      </c>
      <c r="I354" s="332">
        <v>0</v>
      </c>
      <c r="J354" s="332">
        <v>0</v>
      </c>
      <c r="K354" s="332">
        <v>0</v>
      </c>
      <c r="L354" s="332">
        <v>0</v>
      </c>
      <c r="M354" s="332">
        <v>0</v>
      </c>
      <c r="N354" s="332">
        <v>0</v>
      </c>
      <c r="O354" s="332">
        <v>0</v>
      </c>
      <c r="P354" s="136">
        <f>SUM(D354:O354)</f>
        <v>0</v>
      </c>
    </row>
    <row r="355" spans="1:19" ht="15.6" x14ac:dyDescent="0.3">
      <c r="A355" s="92">
        <f>A354+1</f>
        <v>4</v>
      </c>
      <c r="B355" s="51" t="s">
        <v>263</v>
      </c>
      <c r="C355" s="106"/>
      <c r="D355" s="70">
        <f t="shared" ref="D355:O355" si="78">SUM(D353:D354)</f>
        <v>44010</v>
      </c>
      <c r="E355" s="70">
        <f t="shared" si="78"/>
        <v>56724</v>
      </c>
      <c r="F355" s="70">
        <f t="shared" si="78"/>
        <v>33252</v>
      </c>
      <c r="G355" s="70">
        <f t="shared" si="78"/>
        <v>47922</v>
      </c>
      <c r="H355" s="70">
        <f t="shared" si="78"/>
        <v>37164</v>
      </c>
      <c r="I355" s="70">
        <f t="shared" si="78"/>
        <v>37164</v>
      </c>
      <c r="J355" s="70">
        <f t="shared" si="78"/>
        <v>39120</v>
      </c>
      <c r="K355" s="70">
        <f t="shared" si="78"/>
        <v>37164</v>
      </c>
      <c r="L355" s="70">
        <f t="shared" si="78"/>
        <v>41076</v>
      </c>
      <c r="M355" s="70">
        <f t="shared" si="78"/>
        <v>50856</v>
      </c>
      <c r="N355" s="70">
        <f t="shared" si="78"/>
        <v>54768</v>
      </c>
      <c r="O355" s="70">
        <f t="shared" si="78"/>
        <v>54768</v>
      </c>
      <c r="P355" s="70">
        <f>SUM(D355:O355)</f>
        <v>533988</v>
      </c>
    </row>
    <row r="356" spans="1:19" ht="15.6" x14ac:dyDescent="0.3">
      <c r="A356" s="92"/>
      <c r="B356" s="51"/>
      <c r="C356" s="106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52"/>
    </row>
    <row r="357" spans="1:19" ht="15.6" x14ac:dyDescent="0.3">
      <c r="A357" s="92">
        <f>A355+1</f>
        <v>5</v>
      </c>
      <c r="B357" s="50" t="s">
        <v>274</v>
      </c>
      <c r="C357" s="129"/>
      <c r="D357" s="170"/>
      <c r="E357" s="170"/>
      <c r="F357" s="170"/>
      <c r="G357" s="170"/>
      <c r="H357" s="170"/>
      <c r="I357" s="170"/>
      <c r="J357" s="171"/>
      <c r="K357" s="171"/>
      <c r="L357" s="171"/>
      <c r="M357" s="171"/>
      <c r="N357" s="171"/>
      <c r="O357" s="171"/>
      <c r="P357" s="134"/>
      <c r="S357" s="133"/>
    </row>
    <row r="358" spans="1:19" x14ac:dyDescent="0.25">
      <c r="A358" s="92">
        <f>A357+1</f>
        <v>6</v>
      </c>
      <c r="B358" s="51" t="s">
        <v>360</v>
      </c>
      <c r="C358" s="131"/>
      <c r="D358" s="323">
        <v>411738</v>
      </c>
      <c r="E358" s="323">
        <v>369684</v>
      </c>
      <c r="F358" s="323">
        <v>397068</v>
      </c>
      <c r="G358" s="323">
        <v>381420</v>
      </c>
      <c r="H358" s="323">
        <v>392178</v>
      </c>
      <c r="I358" s="323">
        <v>381420</v>
      </c>
      <c r="J358" s="323">
        <v>392178</v>
      </c>
      <c r="K358" s="323">
        <v>392178</v>
      </c>
      <c r="L358" s="323">
        <v>381420</v>
      </c>
      <c r="M358" s="323">
        <v>397068</v>
      </c>
      <c r="N358" s="323">
        <v>391200</v>
      </c>
      <c r="O358" s="323">
        <v>401958</v>
      </c>
      <c r="P358" s="70">
        <f>SUM(D358:O358)</f>
        <v>4689510</v>
      </c>
    </row>
    <row r="359" spans="1:19" x14ac:dyDescent="0.25">
      <c r="A359" s="92">
        <f>A358+1</f>
        <v>7</v>
      </c>
      <c r="B359" s="51" t="s">
        <v>244</v>
      </c>
      <c r="C359" s="141" t="s">
        <v>363</v>
      </c>
      <c r="D359" s="332">
        <v>0</v>
      </c>
      <c r="E359" s="332">
        <v>0</v>
      </c>
      <c r="F359" s="332">
        <v>0</v>
      </c>
      <c r="G359" s="332">
        <v>0</v>
      </c>
      <c r="H359" s="332">
        <v>0</v>
      </c>
      <c r="I359" s="332">
        <v>0</v>
      </c>
      <c r="J359" s="332">
        <v>0</v>
      </c>
      <c r="K359" s="332">
        <v>0</v>
      </c>
      <c r="L359" s="332">
        <v>0</v>
      </c>
      <c r="M359" s="332">
        <v>0</v>
      </c>
      <c r="N359" s="332">
        <v>0</v>
      </c>
      <c r="O359" s="332">
        <v>0</v>
      </c>
      <c r="P359" s="136">
        <f>SUM(D359:O359)</f>
        <v>0</v>
      </c>
    </row>
    <row r="360" spans="1:19" ht="15.6" x14ac:dyDescent="0.3">
      <c r="A360" s="92">
        <f>A359+1</f>
        <v>8</v>
      </c>
      <c r="B360" s="51" t="s">
        <v>263</v>
      </c>
      <c r="C360" s="106"/>
      <c r="D360" s="70">
        <f>SUM(D358:D359)</f>
        <v>411738</v>
      </c>
      <c r="E360" s="70">
        <f t="shared" ref="E360:O360" si="79">SUM(E358:E359)</f>
        <v>369684</v>
      </c>
      <c r="F360" s="70">
        <f t="shared" si="79"/>
        <v>397068</v>
      </c>
      <c r="G360" s="70">
        <f t="shared" si="79"/>
        <v>381420</v>
      </c>
      <c r="H360" s="70">
        <f t="shared" si="79"/>
        <v>392178</v>
      </c>
      <c r="I360" s="70">
        <f t="shared" si="79"/>
        <v>381420</v>
      </c>
      <c r="J360" s="70">
        <f t="shared" si="79"/>
        <v>392178</v>
      </c>
      <c r="K360" s="70">
        <f t="shared" si="79"/>
        <v>392178</v>
      </c>
      <c r="L360" s="70">
        <f t="shared" si="79"/>
        <v>381420</v>
      </c>
      <c r="M360" s="70">
        <f t="shared" si="79"/>
        <v>397068</v>
      </c>
      <c r="N360" s="70">
        <f t="shared" si="79"/>
        <v>391200</v>
      </c>
      <c r="O360" s="70">
        <f t="shared" si="79"/>
        <v>401958</v>
      </c>
      <c r="P360" s="70">
        <f>SUM(D360:O360)</f>
        <v>4689510</v>
      </c>
    </row>
    <row r="361" spans="1:19" ht="15.6" x14ac:dyDescent="0.3">
      <c r="A361" s="92"/>
      <c r="B361" s="51"/>
      <c r="C361" s="106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52"/>
    </row>
    <row r="362" spans="1:19" ht="15.6" x14ac:dyDescent="0.3">
      <c r="A362" s="131">
        <f>A360+1</f>
        <v>9</v>
      </c>
      <c r="B362" s="50" t="s">
        <v>275</v>
      </c>
      <c r="C362" s="129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S362" s="133"/>
    </row>
    <row r="363" spans="1:19" x14ac:dyDescent="0.25">
      <c r="A363" s="92">
        <f>A362+1</f>
        <v>10</v>
      </c>
      <c r="B363" s="51" t="s">
        <v>360</v>
      </c>
      <c r="C363" s="131"/>
      <c r="D363" s="306"/>
      <c r="E363" s="306"/>
      <c r="F363" s="306"/>
      <c r="G363" s="323"/>
      <c r="H363" s="323"/>
      <c r="I363" s="323"/>
      <c r="J363" s="323"/>
      <c r="K363" s="323"/>
      <c r="L363" s="323"/>
      <c r="M363" s="306"/>
      <c r="N363" s="306"/>
      <c r="O363" s="306"/>
      <c r="P363" s="104"/>
    </row>
    <row r="364" spans="1:19" x14ac:dyDescent="0.25">
      <c r="A364" s="92">
        <f>A363+1</f>
        <v>11</v>
      </c>
      <c r="B364" s="330" t="s">
        <v>276</v>
      </c>
      <c r="C364" s="131"/>
      <c r="D364" s="306">
        <v>25000</v>
      </c>
      <c r="E364" s="306">
        <v>25000</v>
      </c>
      <c r="F364" s="306">
        <v>25000</v>
      </c>
      <c r="G364" s="306">
        <v>25000</v>
      </c>
      <c r="H364" s="306">
        <v>25000</v>
      </c>
      <c r="I364" s="306">
        <v>25000</v>
      </c>
      <c r="J364" s="306">
        <v>25000</v>
      </c>
      <c r="K364" s="306">
        <v>25000</v>
      </c>
      <c r="L364" s="306">
        <v>25000</v>
      </c>
      <c r="M364" s="306">
        <v>25000</v>
      </c>
      <c r="N364" s="306">
        <v>25000</v>
      </c>
      <c r="O364" s="306">
        <v>25000</v>
      </c>
      <c r="P364" s="104">
        <f>SUM(D364:O364)</f>
        <v>300000</v>
      </c>
    </row>
    <row r="365" spans="1:19" x14ac:dyDescent="0.25">
      <c r="A365" s="92">
        <f>A364+1</f>
        <v>12</v>
      </c>
      <c r="B365" s="330" t="s">
        <v>277</v>
      </c>
      <c r="C365" s="131"/>
      <c r="D365" s="332">
        <v>19077</v>
      </c>
      <c r="E365" s="332">
        <v>1389</v>
      </c>
      <c r="F365" s="332">
        <v>5000</v>
      </c>
      <c r="G365" s="332">
        <v>5000</v>
      </c>
      <c r="H365" s="332">
        <v>5000</v>
      </c>
      <c r="I365" s="332">
        <v>5000</v>
      </c>
      <c r="J365" s="332">
        <v>5000</v>
      </c>
      <c r="K365" s="332">
        <v>5000</v>
      </c>
      <c r="L365" s="332">
        <v>20000</v>
      </c>
      <c r="M365" s="332">
        <v>20000</v>
      </c>
      <c r="N365" s="332">
        <v>14555</v>
      </c>
      <c r="O365" s="332">
        <v>14979</v>
      </c>
      <c r="P365" s="136">
        <f>SUM(D365:O365)</f>
        <v>120000</v>
      </c>
    </row>
    <row r="366" spans="1:19" x14ac:dyDescent="0.25">
      <c r="A366" s="92"/>
      <c r="B366" s="330"/>
      <c r="C366" s="131"/>
      <c r="D366" s="70">
        <f t="shared" ref="D366:N366" si="80">SUM(D364:D365)</f>
        <v>44077</v>
      </c>
      <c r="E366" s="70">
        <f t="shared" si="80"/>
        <v>26389</v>
      </c>
      <c r="F366" s="70">
        <f t="shared" si="80"/>
        <v>30000</v>
      </c>
      <c r="G366" s="70">
        <f t="shared" si="80"/>
        <v>30000</v>
      </c>
      <c r="H366" s="70">
        <f t="shared" si="80"/>
        <v>30000</v>
      </c>
      <c r="I366" s="70">
        <f t="shared" si="80"/>
        <v>30000</v>
      </c>
      <c r="J366" s="70">
        <f t="shared" si="80"/>
        <v>30000</v>
      </c>
      <c r="K366" s="70">
        <f t="shared" si="80"/>
        <v>30000</v>
      </c>
      <c r="L366" s="70">
        <f t="shared" si="80"/>
        <v>45000</v>
      </c>
      <c r="M366" s="70">
        <f t="shared" si="80"/>
        <v>45000</v>
      </c>
      <c r="N366" s="70">
        <f t="shared" si="80"/>
        <v>39555</v>
      </c>
      <c r="O366" s="70">
        <f>SUM(O364:O365)</f>
        <v>39979</v>
      </c>
      <c r="P366" s="104">
        <f>SUM(D366:O366)</f>
        <v>420000</v>
      </c>
    </row>
    <row r="367" spans="1:19" x14ac:dyDescent="0.25">
      <c r="A367" s="92">
        <f>A365+1</f>
        <v>13</v>
      </c>
      <c r="B367" s="51" t="s">
        <v>244</v>
      </c>
      <c r="C367" s="141" t="s">
        <v>363</v>
      </c>
      <c r="D367" s="323"/>
      <c r="E367" s="323"/>
      <c r="F367" s="323"/>
      <c r="G367" s="323"/>
      <c r="H367" s="323"/>
      <c r="I367" s="323"/>
      <c r="J367" s="323"/>
      <c r="K367" s="323"/>
      <c r="L367" s="323"/>
      <c r="M367" s="323"/>
      <c r="N367" s="323"/>
      <c r="O367" s="323"/>
      <c r="P367" s="323"/>
    </row>
    <row r="368" spans="1:19" x14ac:dyDescent="0.25">
      <c r="A368" s="92">
        <f>A367+1</f>
        <v>14</v>
      </c>
      <c r="B368" s="51" t="str">
        <f>B364</f>
        <v xml:space="preserve">    First 25,000 Mcf</v>
      </c>
      <c r="C368" s="141"/>
      <c r="D368" s="323">
        <v>0</v>
      </c>
      <c r="E368" s="323">
        <v>0</v>
      </c>
      <c r="F368" s="323">
        <v>0</v>
      </c>
      <c r="G368" s="323">
        <v>0</v>
      </c>
      <c r="H368" s="323">
        <v>0</v>
      </c>
      <c r="I368" s="323">
        <v>0</v>
      </c>
      <c r="J368" s="323">
        <v>0</v>
      </c>
      <c r="K368" s="323">
        <v>0</v>
      </c>
      <c r="L368" s="323">
        <v>0</v>
      </c>
      <c r="M368" s="323">
        <v>0</v>
      </c>
      <c r="N368" s="323">
        <v>0</v>
      </c>
      <c r="O368" s="323">
        <v>0</v>
      </c>
      <c r="P368" s="70">
        <f>SUM(D368:O368)</f>
        <v>0</v>
      </c>
    </row>
    <row r="369" spans="1:94" x14ac:dyDescent="0.25">
      <c r="A369" s="92">
        <f>A368+1</f>
        <v>15</v>
      </c>
      <c r="B369" s="51" t="str">
        <f>B365</f>
        <v xml:space="preserve">    Over 25,000 Mcf</v>
      </c>
      <c r="C369" s="141"/>
      <c r="D369" s="332">
        <v>0</v>
      </c>
      <c r="E369" s="332">
        <v>0</v>
      </c>
      <c r="F369" s="332">
        <v>0</v>
      </c>
      <c r="G369" s="332">
        <v>0</v>
      </c>
      <c r="H369" s="332">
        <v>0</v>
      </c>
      <c r="I369" s="332">
        <v>0</v>
      </c>
      <c r="J369" s="332">
        <v>0</v>
      </c>
      <c r="K369" s="332">
        <v>0</v>
      </c>
      <c r="L369" s="332">
        <v>0</v>
      </c>
      <c r="M369" s="332">
        <v>0</v>
      </c>
      <c r="N369" s="332">
        <v>0</v>
      </c>
      <c r="O369" s="332">
        <v>0</v>
      </c>
      <c r="P369" s="136">
        <f>SUM(D369:O369)</f>
        <v>0</v>
      </c>
    </row>
    <row r="370" spans="1:94" x14ac:dyDescent="0.25">
      <c r="A370" s="92"/>
      <c r="B370" s="51"/>
      <c r="C370" s="141"/>
      <c r="D370" s="70">
        <f t="shared" ref="D370:N370" si="81">SUM(D368:D369)</f>
        <v>0</v>
      </c>
      <c r="E370" s="70">
        <f t="shared" si="81"/>
        <v>0</v>
      </c>
      <c r="F370" s="70">
        <f t="shared" si="81"/>
        <v>0</v>
      </c>
      <c r="G370" s="70">
        <f t="shared" si="81"/>
        <v>0</v>
      </c>
      <c r="H370" s="70">
        <f t="shared" si="81"/>
        <v>0</v>
      </c>
      <c r="I370" s="70">
        <f t="shared" si="81"/>
        <v>0</v>
      </c>
      <c r="J370" s="70">
        <f t="shared" si="81"/>
        <v>0</v>
      </c>
      <c r="K370" s="70">
        <f t="shared" si="81"/>
        <v>0</v>
      </c>
      <c r="L370" s="70">
        <f t="shared" si="81"/>
        <v>0</v>
      </c>
      <c r="M370" s="70">
        <f t="shared" si="81"/>
        <v>0</v>
      </c>
      <c r="N370" s="70">
        <f t="shared" si="81"/>
        <v>0</v>
      </c>
      <c r="O370" s="70">
        <f>SUM(O368:O369)</f>
        <v>0</v>
      </c>
      <c r="P370" s="70">
        <f>SUM(D370:O370)</f>
        <v>0</v>
      </c>
    </row>
    <row r="371" spans="1:94" s="101" customFormat="1" ht="15.6" x14ac:dyDescent="0.3">
      <c r="A371" s="92">
        <f>A369+1</f>
        <v>16</v>
      </c>
      <c r="B371" s="51" t="s">
        <v>263</v>
      </c>
      <c r="C371" s="106"/>
      <c r="D371" s="103"/>
      <c r="E371" s="103"/>
      <c r="F371" s="103"/>
      <c r="G371" s="70"/>
      <c r="H371" s="70"/>
      <c r="I371" s="70"/>
      <c r="J371" s="70"/>
      <c r="K371" s="70"/>
      <c r="L371" s="70"/>
      <c r="M371" s="103"/>
      <c r="N371" s="103"/>
      <c r="O371" s="103"/>
      <c r="P371" s="104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1"/>
      <c r="CP371" s="51"/>
    </row>
    <row r="372" spans="1:94" ht="15.6" x14ac:dyDescent="0.3">
      <c r="A372" s="92">
        <f>A371+1</f>
        <v>17</v>
      </c>
      <c r="B372" s="51" t="str">
        <f>B364</f>
        <v xml:space="preserve">    First 25,000 Mcf</v>
      </c>
      <c r="C372" s="129"/>
      <c r="D372" s="163">
        <f>D364+D368</f>
        <v>25000</v>
      </c>
      <c r="E372" s="163">
        <f t="shared" ref="E372:O372" si="82">E364+E368</f>
        <v>25000</v>
      </c>
      <c r="F372" s="163">
        <f t="shared" si="82"/>
        <v>25000</v>
      </c>
      <c r="G372" s="163">
        <f t="shared" si="82"/>
        <v>25000</v>
      </c>
      <c r="H372" s="163">
        <f t="shared" si="82"/>
        <v>25000</v>
      </c>
      <c r="I372" s="163">
        <f t="shared" si="82"/>
        <v>25000</v>
      </c>
      <c r="J372" s="163">
        <f t="shared" si="82"/>
        <v>25000</v>
      </c>
      <c r="K372" s="163">
        <f t="shared" si="82"/>
        <v>25000</v>
      </c>
      <c r="L372" s="163">
        <f t="shared" si="82"/>
        <v>25000</v>
      </c>
      <c r="M372" s="163">
        <f t="shared" si="82"/>
        <v>25000</v>
      </c>
      <c r="N372" s="163">
        <f t="shared" si="82"/>
        <v>25000</v>
      </c>
      <c r="O372" s="163">
        <f t="shared" si="82"/>
        <v>25000</v>
      </c>
      <c r="P372" s="103">
        <f>SUM(D372:O372)</f>
        <v>300000</v>
      </c>
      <c r="S372" s="133"/>
    </row>
    <row r="373" spans="1:94" ht="15.6" x14ac:dyDescent="0.3">
      <c r="A373" s="92">
        <f>A372+1</f>
        <v>18</v>
      </c>
      <c r="B373" s="51" t="str">
        <f>B365</f>
        <v xml:space="preserve">    Over 25,000 Mcf</v>
      </c>
      <c r="C373" s="129"/>
      <c r="D373" s="138">
        <f>D365+D369</f>
        <v>19077</v>
      </c>
      <c r="E373" s="138">
        <f t="shared" ref="E373:O373" si="83">E365+E369</f>
        <v>1389</v>
      </c>
      <c r="F373" s="138">
        <f t="shared" si="83"/>
        <v>5000</v>
      </c>
      <c r="G373" s="138">
        <f t="shared" si="83"/>
        <v>5000</v>
      </c>
      <c r="H373" s="138">
        <f t="shared" si="83"/>
        <v>5000</v>
      </c>
      <c r="I373" s="138">
        <f t="shared" si="83"/>
        <v>5000</v>
      </c>
      <c r="J373" s="138">
        <f t="shared" si="83"/>
        <v>5000</v>
      </c>
      <c r="K373" s="138">
        <f t="shared" si="83"/>
        <v>5000</v>
      </c>
      <c r="L373" s="138">
        <f t="shared" si="83"/>
        <v>20000</v>
      </c>
      <c r="M373" s="138">
        <f t="shared" si="83"/>
        <v>20000</v>
      </c>
      <c r="N373" s="138">
        <f t="shared" si="83"/>
        <v>14555</v>
      </c>
      <c r="O373" s="138">
        <f t="shared" si="83"/>
        <v>14979</v>
      </c>
      <c r="P373" s="136">
        <f>SUM(D373:O373)</f>
        <v>120000</v>
      </c>
      <c r="S373" s="133"/>
    </row>
    <row r="374" spans="1:94" s="51" customFormat="1" ht="15.6" x14ac:dyDescent="0.3">
      <c r="A374" s="92">
        <f>A373+1</f>
        <v>19</v>
      </c>
      <c r="B374" s="51" t="s">
        <v>361</v>
      </c>
      <c r="C374" s="129"/>
      <c r="D374" s="163">
        <f>D366+D370</f>
        <v>44077</v>
      </c>
      <c r="E374" s="163">
        <f t="shared" ref="E374:O374" si="84">E366+E370</f>
        <v>26389</v>
      </c>
      <c r="F374" s="163">
        <f t="shared" si="84"/>
        <v>30000</v>
      </c>
      <c r="G374" s="163">
        <f t="shared" si="84"/>
        <v>30000</v>
      </c>
      <c r="H374" s="163">
        <f t="shared" si="84"/>
        <v>30000</v>
      </c>
      <c r="I374" s="163">
        <f t="shared" si="84"/>
        <v>30000</v>
      </c>
      <c r="J374" s="163">
        <f t="shared" si="84"/>
        <v>30000</v>
      </c>
      <c r="K374" s="163">
        <f t="shared" si="84"/>
        <v>30000</v>
      </c>
      <c r="L374" s="163">
        <f t="shared" si="84"/>
        <v>45000</v>
      </c>
      <c r="M374" s="163">
        <f t="shared" si="84"/>
        <v>45000</v>
      </c>
      <c r="N374" s="163">
        <f t="shared" si="84"/>
        <v>39555</v>
      </c>
      <c r="O374" s="163">
        <f t="shared" si="84"/>
        <v>39979</v>
      </c>
      <c r="P374" s="103">
        <f>SUM(D374:O374)</f>
        <v>420000</v>
      </c>
      <c r="S374" s="133"/>
    </row>
    <row r="375" spans="1:94" ht="15.6" x14ac:dyDescent="0.3">
      <c r="A375" s="122"/>
      <c r="B375" s="51"/>
      <c r="C375" s="129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70"/>
      <c r="S375" s="133"/>
    </row>
    <row r="376" spans="1:94" ht="15.6" x14ac:dyDescent="0.3">
      <c r="A376" s="92">
        <f>A374+1</f>
        <v>20</v>
      </c>
      <c r="B376" s="50" t="s">
        <v>278</v>
      </c>
      <c r="C376" s="129"/>
      <c r="D376" s="170"/>
      <c r="E376" s="170"/>
      <c r="F376" s="170"/>
      <c r="G376" s="170"/>
      <c r="H376" s="170"/>
      <c r="I376" s="170"/>
      <c r="J376" s="171"/>
      <c r="K376" s="171"/>
      <c r="L376" s="171"/>
      <c r="M376" s="171"/>
      <c r="N376" s="171"/>
      <c r="O376" s="171"/>
      <c r="P376" s="134"/>
      <c r="S376" s="133"/>
    </row>
    <row r="377" spans="1:94" x14ac:dyDescent="0.25">
      <c r="A377" s="92">
        <f>A376+1</f>
        <v>21</v>
      </c>
      <c r="B377" s="51" t="s">
        <v>360</v>
      </c>
      <c r="C377" s="131"/>
      <c r="D377" s="306"/>
      <c r="E377" s="306"/>
      <c r="F377" s="306"/>
      <c r="G377" s="323"/>
      <c r="H377" s="323"/>
      <c r="I377" s="323"/>
      <c r="J377" s="323"/>
      <c r="K377" s="323"/>
      <c r="L377" s="323"/>
      <c r="M377" s="306"/>
      <c r="N377" s="306"/>
      <c r="O377" s="306"/>
      <c r="P377" s="104"/>
    </row>
    <row r="378" spans="1:94" x14ac:dyDescent="0.25">
      <c r="A378" s="92">
        <f>A377+1</f>
        <v>22</v>
      </c>
      <c r="B378" s="330" t="s">
        <v>269</v>
      </c>
      <c r="C378" s="131"/>
      <c r="D378" s="323">
        <v>0</v>
      </c>
      <c r="E378" s="323">
        <v>0</v>
      </c>
      <c r="F378" s="323">
        <v>0</v>
      </c>
      <c r="G378" s="323">
        <v>0</v>
      </c>
      <c r="H378" s="323">
        <v>0</v>
      </c>
      <c r="I378" s="323">
        <v>0</v>
      </c>
      <c r="J378" s="323">
        <v>0</v>
      </c>
      <c r="K378" s="323">
        <v>0</v>
      </c>
      <c r="L378" s="323">
        <v>0</v>
      </c>
      <c r="M378" s="323">
        <v>0</v>
      </c>
      <c r="N378" s="323">
        <v>0</v>
      </c>
      <c r="O378" s="323">
        <v>0</v>
      </c>
      <c r="P378" s="70">
        <f>SUM(D378:O378)</f>
        <v>0</v>
      </c>
    </row>
    <row r="379" spans="1:94" x14ac:dyDescent="0.25">
      <c r="A379" s="92">
        <f>A378+1</f>
        <v>23</v>
      </c>
      <c r="B379" s="330" t="s">
        <v>650</v>
      </c>
      <c r="C379" s="131"/>
      <c r="D379" s="323">
        <v>0</v>
      </c>
      <c r="E379" s="323">
        <v>0</v>
      </c>
      <c r="F379" s="323">
        <v>0</v>
      </c>
      <c r="G379" s="323">
        <v>0</v>
      </c>
      <c r="H379" s="323">
        <v>0</v>
      </c>
      <c r="I379" s="323">
        <v>0</v>
      </c>
      <c r="J379" s="323">
        <v>0</v>
      </c>
      <c r="K379" s="323">
        <v>0</v>
      </c>
      <c r="L379" s="323">
        <v>0</v>
      </c>
      <c r="M379" s="323">
        <v>0</v>
      </c>
      <c r="N379" s="323">
        <v>0</v>
      </c>
      <c r="O379" s="323">
        <v>0</v>
      </c>
      <c r="P379" s="70">
        <f>SUM(D379:O379)</f>
        <v>0</v>
      </c>
    </row>
    <row r="380" spans="1:94" x14ac:dyDescent="0.25">
      <c r="A380" s="92">
        <f>A379+1</f>
        <v>24</v>
      </c>
      <c r="B380" s="330" t="s">
        <v>651</v>
      </c>
      <c r="C380" s="131"/>
      <c r="D380" s="332">
        <v>0</v>
      </c>
      <c r="E380" s="332">
        <v>0</v>
      </c>
      <c r="F380" s="332">
        <v>0</v>
      </c>
      <c r="G380" s="332">
        <v>0</v>
      </c>
      <c r="H380" s="332">
        <v>0</v>
      </c>
      <c r="I380" s="332">
        <v>0</v>
      </c>
      <c r="J380" s="332">
        <v>0</v>
      </c>
      <c r="K380" s="332">
        <v>0</v>
      </c>
      <c r="L380" s="332">
        <v>0</v>
      </c>
      <c r="M380" s="332">
        <v>0</v>
      </c>
      <c r="N380" s="332">
        <v>0</v>
      </c>
      <c r="O380" s="332">
        <v>0</v>
      </c>
      <c r="P380" s="136">
        <f>SUM(D380:O380)</f>
        <v>0</v>
      </c>
    </row>
    <row r="381" spans="1:94" x14ac:dyDescent="0.25">
      <c r="A381" s="92"/>
      <c r="B381" s="330"/>
      <c r="C381" s="131"/>
      <c r="D381" s="70">
        <f t="shared" ref="D381:N381" si="85">SUM(D378:D380)</f>
        <v>0</v>
      </c>
      <c r="E381" s="70">
        <f t="shared" si="85"/>
        <v>0</v>
      </c>
      <c r="F381" s="70">
        <f t="shared" si="85"/>
        <v>0</v>
      </c>
      <c r="G381" s="70">
        <f t="shared" si="85"/>
        <v>0</v>
      </c>
      <c r="H381" s="70">
        <f t="shared" si="85"/>
        <v>0</v>
      </c>
      <c r="I381" s="70">
        <f t="shared" si="85"/>
        <v>0</v>
      </c>
      <c r="J381" s="70">
        <f t="shared" si="85"/>
        <v>0</v>
      </c>
      <c r="K381" s="70">
        <f t="shared" si="85"/>
        <v>0</v>
      </c>
      <c r="L381" s="70">
        <f t="shared" si="85"/>
        <v>0</v>
      </c>
      <c r="M381" s="70">
        <f t="shared" si="85"/>
        <v>0</v>
      </c>
      <c r="N381" s="70">
        <f t="shared" si="85"/>
        <v>0</v>
      </c>
      <c r="O381" s="70">
        <f>SUM(O378:O380)</f>
        <v>0</v>
      </c>
      <c r="P381" s="70">
        <f>SUM(D381:O381)</f>
        <v>0</v>
      </c>
    </row>
    <row r="382" spans="1:94" x14ac:dyDescent="0.25">
      <c r="A382" s="92">
        <f>A380+1</f>
        <v>25</v>
      </c>
      <c r="B382" s="51" t="s">
        <v>244</v>
      </c>
      <c r="C382" s="141" t="s">
        <v>363</v>
      </c>
      <c r="D382" s="323"/>
      <c r="E382" s="323"/>
      <c r="F382" s="323"/>
      <c r="G382" s="323"/>
      <c r="H382" s="323"/>
      <c r="I382" s="323"/>
      <c r="J382" s="323"/>
      <c r="K382" s="323"/>
      <c r="L382" s="323"/>
      <c r="M382" s="323"/>
      <c r="N382" s="323"/>
      <c r="O382" s="323"/>
      <c r="P382" s="70"/>
    </row>
    <row r="383" spans="1:94" x14ac:dyDescent="0.25">
      <c r="A383" s="92">
        <f>A382+1</f>
        <v>26</v>
      </c>
      <c r="B383" s="51" t="str">
        <f>B378</f>
        <v xml:space="preserve">    First 30,000 Mcf</v>
      </c>
      <c r="C383" s="141"/>
      <c r="D383" s="323">
        <v>0</v>
      </c>
      <c r="E383" s="323">
        <v>0</v>
      </c>
      <c r="F383" s="323">
        <v>0</v>
      </c>
      <c r="G383" s="323">
        <v>0</v>
      </c>
      <c r="H383" s="323">
        <v>0</v>
      </c>
      <c r="I383" s="323">
        <v>0</v>
      </c>
      <c r="J383" s="323">
        <v>0</v>
      </c>
      <c r="K383" s="323">
        <v>0</v>
      </c>
      <c r="L383" s="323">
        <v>0</v>
      </c>
      <c r="M383" s="323">
        <v>0</v>
      </c>
      <c r="N383" s="323">
        <v>0</v>
      </c>
      <c r="O383" s="323">
        <v>0</v>
      </c>
      <c r="P383" s="70">
        <f>SUM(D383:O383)</f>
        <v>0</v>
      </c>
    </row>
    <row r="384" spans="1:94" x14ac:dyDescent="0.25">
      <c r="A384" s="92">
        <f>A383+1</f>
        <v>27</v>
      </c>
      <c r="B384" s="51" t="str">
        <f>B379</f>
        <v xml:space="preserve">    Next 70,000 Mcf</v>
      </c>
      <c r="C384" s="141"/>
      <c r="D384" s="323">
        <v>0</v>
      </c>
      <c r="E384" s="323">
        <v>0</v>
      </c>
      <c r="F384" s="323">
        <v>0</v>
      </c>
      <c r="G384" s="323">
        <v>0</v>
      </c>
      <c r="H384" s="323">
        <v>0</v>
      </c>
      <c r="I384" s="323">
        <v>0</v>
      </c>
      <c r="J384" s="323">
        <v>0</v>
      </c>
      <c r="K384" s="323">
        <v>0</v>
      </c>
      <c r="L384" s="323">
        <v>0</v>
      </c>
      <c r="M384" s="323">
        <v>0</v>
      </c>
      <c r="N384" s="323">
        <v>0</v>
      </c>
      <c r="O384" s="323">
        <v>0</v>
      </c>
      <c r="P384" s="70">
        <f>SUM(D384:O384)</f>
        <v>0</v>
      </c>
    </row>
    <row r="385" spans="1:94" x14ac:dyDescent="0.25">
      <c r="A385" s="92">
        <f>A384+1</f>
        <v>28</v>
      </c>
      <c r="B385" s="51" t="str">
        <f>B380</f>
        <v xml:space="preserve">    Over 100,000 Mcf</v>
      </c>
      <c r="C385" s="141"/>
      <c r="D385" s="332">
        <v>0</v>
      </c>
      <c r="E385" s="332">
        <v>0</v>
      </c>
      <c r="F385" s="332">
        <v>0</v>
      </c>
      <c r="G385" s="332">
        <v>0</v>
      </c>
      <c r="H385" s="332">
        <v>0</v>
      </c>
      <c r="I385" s="332">
        <v>0</v>
      </c>
      <c r="J385" s="332">
        <v>0</v>
      </c>
      <c r="K385" s="332">
        <v>0</v>
      </c>
      <c r="L385" s="332">
        <v>0</v>
      </c>
      <c r="M385" s="332">
        <v>0</v>
      </c>
      <c r="N385" s="332">
        <v>0</v>
      </c>
      <c r="O385" s="332">
        <v>0</v>
      </c>
      <c r="P385" s="136">
        <f>SUM(D385:O385)</f>
        <v>0</v>
      </c>
    </row>
    <row r="386" spans="1:94" x14ac:dyDescent="0.25">
      <c r="A386" s="92"/>
      <c r="B386" s="51"/>
      <c r="C386" s="141"/>
      <c r="D386" s="70">
        <f t="shared" ref="D386:N386" si="86">SUM(D383:D385)</f>
        <v>0</v>
      </c>
      <c r="E386" s="70">
        <f t="shared" si="86"/>
        <v>0</v>
      </c>
      <c r="F386" s="70">
        <f t="shared" si="86"/>
        <v>0</v>
      </c>
      <c r="G386" s="70">
        <f t="shared" si="86"/>
        <v>0</v>
      </c>
      <c r="H386" s="70">
        <f t="shared" si="86"/>
        <v>0</v>
      </c>
      <c r="I386" s="70">
        <f t="shared" si="86"/>
        <v>0</v>
      </c>
      <c r="J386" s="70">
        <f t="shared" si="86"/>
        <v>0</v>
      </c>
      <c r="K386" s="70">
        <f t="shared" si="86"/>
        <v>0</v>
      </c>
      <c r="L386" s="70">
        <f t="shared" si="86"/>
        <v>0</v>
      </c>
      <c r="M386" s="70">
        <f t="shared" si="86"/>
        <v>0</v>
      </c>
      <c r="N386" s="70">
        <f t="shared" si="86"/>
        <v>0</v>
      </c>
      <c r="O386" s="70">
        <f>SUM(O383:O385)</f>
        <v>0</v>
      </c>
      <c r="P386" s="70">
        <f>SUM(D386:O386)</f>
        <v>0</v>
      </c>
    </row>
    <row r="387" spans="1:94" s="101" customFormat="1" ht="15.6" x14ac:dyDescent="0.3">
      <c r="A387" s="92">
        <f>A385+1</f>
        <v>29</v>
      </c>
      <c r="B387" s="51" t="s">
        <v>263</v>
      </c>
      <c r="C387" s="106"/>
      <c r="D387" s="103"/>
      <c r="E387" s="103"/>
      <c r="F387" s="103"/>
      <c r="G387" s="70"/>
      <c r="H387" s="70"/>
      <c r="I387" s="70"/>
      <c r="J387" s="70"/>
      <c r="K387" s="70"/>
      <c r="L387" s="70"/>
      <c r="M387" s="103"/>
      <c r="N387" s="103"/>
      <c r="O387" s="103"/>
      <c r="P387" s="104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  <c r="BS387" s="51"/>
      <c r="BT387" s="51"/>
      <c r="BU387" s="51"/>
      <c r="BV387" s="51"/>
      <c r="BW387" s="51"/>
      <c r="BX387" s="51"/>
      <c r="BY387" s="51"/>
      <c r="BZ387" s="51"/>
      <c r="CA387" s="51"/>
      <c r="CB387" s="51"/>
      <c r="CC387" s="51"/>
      <c r="CD387" s="51"/>
      <c r="CE387" s="51"/>
      <c r="CF387" s="51"/>
      <c r="CG387" s="51"/>
      <c r="CH387" s="51"/>
      <c r="CI387" s="51"/>
      <c r="CJ387" s="51"/>
      <c r="CK387" s="51"/>
      <c r="CL387" s="51"/>
      <c r="CM387" s="51"/>
      <c r="CN387" s="51"/>
      <c r="CO387" s="51"/>
      <c r="CP387" s="51"/>
    </row>
    <row r="388" spans="1:94" ht="15.6" x14ac:dyDescent="0.3">
      <c r="A388" s="92">
        <f>A387+1</f>
        <v>30</v>
      </c>
      <c r="B388" s="51" t="str">
        <f>B383</f>
        <v xml:space="preserve">    First 30,000 Mcf</v>
      </c>
      <c r="C388" s="129"/>
      <c r="D388" s="163">
        <f>D378+D383</f>
        <v>0</v>
      </c>
      <c r="E388" s="163">
        <f t="shared" ref="E388:O389" si="87">E378+E383</f>
        <v>0</v>
      </c>
      <c r="F388" s="163">
        <f t="shared" si="87"/>
        <v>0</v>
      </c>
      <c r="G388" s="163">
        <f t="shared" si="87"/>
        <v>0</v>
      </c>
      <c r="H388" s="163">
        <f t="shared" si="87"/>
        <v>0</v>
      </c>
      <c r="I388" s="163">
        <f t="shared" si="87"/>
        <v>0</v>
      </c>
      <c r="J388" s="163">
        <f t="shared" si="87"/>
        <v>0</v>
      </c>
      <c r="K388" s="163">
        <f t="shared" si="87"/>
        <v>0</v>
      </c>
      <c r="L388" s="163">
        <f t="shared" si="87"/>
        <v>0</v>
      </c>
      <c r="M388" s="163">
        <f t="shared" si="87"/>
        <v>0</v>
      </c>
      <c r="N388" s="163">
        <f t="shared" si="87"/>
        <v>0</v>
      </c>
      <c r="O388" s="163">
        <f t="shared" si="87"/>
        <v>0</v>
      </c>
      <c r="P388" s="70">
        <f>SUM(D388:O388)</f>
        <v>0</v>
      </c>
      <c r="S388" s="133"/>
    </row>
    <row r="389" spans="1:94" ht="15.6" x14ac:dyDescent="0.3">
      <c r="A389" s="92">
        <f>A388+1</f>
        <v>31</v>
      </c>
      <c r="B389" s="51" t="str">
        <f>B384</f>
        <v xml:space="preserve">    Next 70,000 Mcf</v>
      </c>
      <c r="C389" s="129"/>
      <c r="D389" s="163">
        <f>D379+D384</f>
        <v>0</v>
      </c>
      <c r="E389" s="163">
        <f t="shared" si="87"/>
        <v>0</v>
      </c>
      <c r="F389" s="163">
        <f t="shared" si="87"/>
        <v>0</v>
      </c>
      <c r="G389" s="163">
        <f t="shared" si="87"/>
        <v>0</v>
      </c>
      <c r="H389" s="163">
        <f t="shared" si="87"/>
        <v>0</v>
      </c>
      <c r="I389" s="163">
        <f t="shared" si="87"/>
        <v>0</v>
      </c>
      <c r="J389" s="163">
        <f t="shared" si="87"/>
        <v>0</v>
      </c>
      <c r="K389" s="163">
        <f t="shared" si="87"/>
        <v>0</v>
      </c>
      <c r="L389" s="163">
        <f t="shared" si="87"/>
        <v>0</v>
      </c>
      <c r="M389" s="163">
        <f t="shared" si="87"/>
        <v>0</v>
      </c>
      <c r="N389" s="163">
        <f t="shared" si="87"/>
        <v>0</v>
      </c>
      <c r="O389" s="163">
        <f t="shared" si="87"/>
        <v>0</v>
      </c>
      <c r="P389" s="70">
        <f>SUM(D389:O389)</f>
        <v>0</v>
      </c>
      <c r="S389" s="133"/>
    </row>
    <row r="390" spans="1:94" ht="15.6" x14ac:dyDescent="0.3">
      <c r="A390" s="92">
        <f t="shared" ref="A390:A391" si="88">A389+1</f>
        <v>32</v>
      </c>
      <c r="B390" s="51" t="str">
        <f>B385</f>
        <v xml:space="preserve">    Over 100,000 Mcf</v>
      </c>
      <c r="C390" s="129"/>
      <c r="D390" s="138">
        <f>D380+D385</f>
        <v>0</v>
      </c>
      <c r="E390" s="138">
        <f t="shared" ref="E390:O390" si="89">E380+E385</f>
        <v>0</v>
      </c>
      <c r="F390" s="138">
        <f t="shared" si="89"/>
        <v>0</v>
      </c>
      <c r="G390" s="138">
        <f t="shared" si="89"/>
        <v>0</v>
      </c>
      <c r="H390" s="138">
        <f t="shared" si="89"/>
        <v>0</v>
      </c>
      <c r="I390" s="138">
        <f t="shared" si="89"/>
        <v>0</v>
      </c>
      <c r="J390" s="138">
        <f t="shared" si="89"/>
        <v>0</v>
      </c>
      <c r="K390" s="138">
        <f t="shared" si="89"/>
        <v>0</v>
      </c>
      <c r="L390" s="138">
        <f t="shared" si="89"/>
        <v>0</v>
      </c>
      <c r="M390" s="138">
        <f t="shared" si="89"/>
        <v>0</v>
      </c>
      <c r="N390" s="138">
        <f t="shared" si="89"/>
        <v>0</v>
      </c>
      <c r="O390" s="138">
        <f t="shared" si="89"/>
        <v>0</v>
      </c>
      <c r="P390" s="136">
        <f>SUM(D390:O390)</f>
        <v>0</v>
      </c>
      <c r="S390" s="133"/>
    </row>
    <row r="391" spans="1:94" ht="15.6" x14ac:dyDescent="0.3">
      <c r="A391" s="92">
        <f t="shared" si="88"/>
        <v>33</v>
      </c>
      <c r="B391" s="51" t="s">
        <v>361</v>
      </c>
      <c r="C391" s="129"/>
      <c r="D391" s="163">
        <f>D381+D386</f>
        <v>0</v>
      </c>
      <c r="E391" s="163">
        <f t="shared" ref="E391:O391" si="90">E381+E386</f>
        <v>0</v>
      </c>
      <c r="F391" s="163">
        <f t="shared" si="90"/>
        <v>0</v>
      </c>
      <c r="G391" s="163">
        <f t="shared" si="90"/>
        <v>0</v>
      </c>
      <c r="H391" s="163">
        <f t="shared" si="90"/>
        <v>0</v>
      </c>
      <c r="I391" s="163">
        <f t="shared" si="90"/>
        <v>0</v>
      </c>
      <c r="J391" s="163">
        <f t="shared" si="90"/>
        <v>0</v>
      </c>
      <c r="K391" s="163">
        <f t="shared" si="90"/>
        <v>0</v>
      </c>
      <c r="L391" s="163">
        <f t="shared" si="90"/>
        <v>0</v>
      </c>
      <c r="M391" s="163">
        <f t="shared" si="90"/>
        <v>0</v>
      </c>
      <c r="N391" s="163">
        <f t="shared" si="90"/>
        <v>0</v>
      </c>
      <c r="O391" s="163">
        <f t="shared" si="90"/>
        <v>0</v>
      </c>
      <c r="P391" s="70">
        <f>SUM(D391:O391)</f>
        <v>0</v>
      </c>
      <c r="S391" s="133"/>
    </row>
    <row r="392" spans="1:94" ht="15.6" x14ac:dyDescent="0.3">
      <c r="A392" s="122"/>
      <c r="B392" s="51"/>
      <c r="C392" s="129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70"/>
      <c r="S392" s="133"/>
    </row>
    <row r="393" spans="1:94" ht="15.6" x14ac:dyDescent="0.3">
      <c r="A393" s="92">
        <f>A391+1</f>
        <v>34</v>
      </c>
      <c r="B393" s="50" t="s">
        <v>279</v>
      </c>
      <c r="C393" s="129"/>
      <c r="D393" s="170"/>
      <c r="E393" s="170"/>
      <c r="F393" s="170"/>
      <c r="G393" s="170"/>
      <c r="H393" s="170"/>
      <c r="I393" s="170"/>
      <c r="J393" s="171"/>
      <c r="K393" s="171"/>
      <c r="L393" s="171"/>
      <c r="M393" s="171"/>
      <c r="N393" s="171"/>
      <c r="O393" s="171"/>
      <c r="P393" s="134"/>
      <c r="S393" s="133"/>
    </row>
    <row r="394" spans="1:94" x14ac:dyDescent="0.25">
      <c r="A394" s="92">
        <f>A393+1</f>
        <v>35</v>
      </c>
      <c r="B394" s="51" t="s">
        <v>360</v>
      </c>
      <c r="C394" s="131"/>
      <c r="D394" s="306"/>
      <c r="E394" s="306"/>
      <c r="F394" s="306"/>
      <c r="G394" s="323"/>
      <c r="H394" s="323"/>
      <c r="I394" s="323"/>
      <c r="J394" s="323"/>
      <c r="K394" s="323"/>
      <c r="L394" s="323"/>
      <c r="M394" s="306"/>
      <c r="N394" s="306"/>
      <c r="O394" s="306"/>
      <c r="P394" s="104"/>
    </row>
    <row r="395" spans="1:94" x14ac:dyDescent="0.25">
      <c r="A395" s="92">
        <f>A394+1</f>
        <v>36</v>
      </c>
      <c r="B395" s="330" t="s">
        <v>280</v>
      </c>
      <c r="C395" s="131"/>
      <c r="D395" s="306">
        <v>150000</v>
      </c>
      <c r="E395" s="306">
        <v>150000</v>
      </c>
      <c r="F395" s="306">
        <v>150000</v>
      </c>
      <c r="G395" s="306">
        <v>150000</v>
      </c>
      <c r="H395" s="306">
        <v>150000</v>
      </c>
      <c r="I395" s="306">
        <v>150000</v>
      </c>
      <c r="J395" s="306">
        <v>150000</v>
      </c>
      <c r="K395" s="306">
        <v>150000</v>
      </c>
      <c r="L395" s="306">
        <v>150000</v>
      </c>
      <c r="M395" s="306">
        <v>150000</v>
      </c>
      <c r="N395" s="306">
        <v>150000</v>
      </c>
      <c r="O395" s="306">
        <v>150000</v>
      </c>
      <c r="P395" s="70">
        <f>SUM(D395:O395)</f>
        <v>1800000</v>
      </c>
    </row>
    <row r="396" spans="1:94" x14ac:dyDescent="0.25">
      <c r="A396" s="92">
        <f>A395+1</f>
        <v>37</v>
      </c>
      <c r="B396" s="330" t="s">
        <v>281</v>
      </c>
      <c r="C396" s="131"/>
      <c r="D396" s="332">
        <v>245112</v>
      </c>
      <c r="E396" s="332">
        <v>233376</v>
      </c>
      <c r="F396" s="332">
        <v>233376</v>
      </c>
      <c r="G396" s="332">
        <v>233376</v>
      </c>
      <c r="H396" s="332">
        <v>233376</v>
      </c>
      <c r="I396" s="332">
        <v>233376</v>
      </c>
      <c r="J396" s="332">
        <v>233376</v>
      </c>
      <c r="K396" s="332">
        <v>233376</v>
      </c>
      <c r="L396" s="332">
        <v>233376</v>
      </c>
      <c r="M396" s="332">
        <v>233376</v>
      </c>
      <c r="N396" s="332">
        <v>233376</v>
      </c>
      <c r="O396" s="332">
        <v>245112</v>
      </c>
      <c r="P396" s="136">
        <f>SUM(D396:O396)</f>
        <v>2823984</v>
      </c>
    </row>
    <row r="397" spans="1:94" x14ac:dyDescent="0.25">
      <c r="A397" s="92"/>
      <c r="B397" s="330"/>
      <c r="C397" s="131"/>
      <c r="D397" s="70">
        <f t="shared" ref="D397:N397" si="91">SUM(D395:D396)</f>
        <v>395112</v>
      </c>
      <c r="E397" s="70">
        <f t="shared" si="91"/>
        <v>383376</v>
      </c>
      <c r="F397" s="70">
        <f t="shared" si="91"/>
        <v>383376</v>
      </c>
      <c r="G397" s="70">
        <f t="shared" si="91"/>
        <v>383376</v>
      </c>
      <c r="H397" s="70">
        <f t="shared" si="91"/>
        <v>383376</v>
      </c>
      <c r="I397" s="70">
        <f t="shared" si="91"/>
        <v>383376</v>
      </c>
      <c r="J397" s="70">
        <f t="shared" si="91"/>
        <v>383376</v>
      </c>
      <c r="K397" s="70">
        <f t="shared" si="91"/>
        <v>383376</v>
      </c>
      <c r="L397" s="70">
        <f t="shared" si="91"/>
        <v>383376</v>
      </c>
      <c r="M397" s="70">
        <f t="shared" si="91"/>
        <v>383376</v>
      </c>
      <c r="N397" s="70">
        <f t="shared" si="91"/>
        <v>383376</v>
      </c>
      <c r="O397" s="70">
        <f>SUM(O395:O396)</f>
        <v>395112</v>
      </c>
      <c r="P397" s="70">
        <f>SUM(D397:O397)</f>
        <v>4623984</v>
      </c>
    </row>
    <row r="398" spans="1:94" x14ac:dyDescent="0.25">
      <c r="A398" s="92">
        <f>A396+1</f>
        <v>38</v>
      </c>
      <c r="B398" s="51" t="s">
        <v>244</v>
      </c>
      <c r="C398" s="141" t="s">
        <v>363</v>
      </c>
      <c r="D398" s="323"/>
      <c r="E398" s="323"/>
      <c r="F398" s="323"/>
      <c r="G398" s="323"/>
      <c r="H398" s="323"/>
      <c r="I398" s="323"/>
      <c r="J398" s="323"/>
      <c r="K398" s="323"/>
      <c r="L398" s="323"/>
      <c r="M398" s="323"/>
      <c r="N398" s="323"/>
      <c r="O398" s="323"/>
      <c r="P398" s="70"/>
    </row>
    <row r="399" spans="1:94" x14ac:dyDescent="0.25">
      <c r="A399" s="92">
        <f>A398+1</f>
        <v>39</v>
      </c>
      <c r="B399" s="51" t="str">
        <f>B395</f>
        <v xml:space="preserve">    First 150,000 Mcf</v>
      </c>
      <c r="C399" s="141"/>
      <c r="D399" s="70">
        <f>'D pg 1'!D63</f>
        <v>0</v>
      </c>
      <c r="E399" s="70">
        <f>'D pg 1'!E63</f>
        <v>0</v>
      </c>
      <c r="F399" s="70">
        <f>'D pg 1'!F63</f>
        <v>-10000</v>
      </c>
      <c r="G399" s="70">
        <f>'D pg 1'!G63</f>
        <v>-10000</v>
      </c>
      <c r="H399" s="70">
        <f>'D pg 1'!H63</f>
        <v>-20000</v>
      </c>
      <c r="I399" s="70">
        <f>'D pg 1'!I63</f>
        <v>-20000</v>
      </c>
      <c r="J399" s="70">
        <f>'D pg 1'!J63</f>
        <v>-20000</v>
      </c>
      <c r="K399" s="70">
        <f>'D pg 1'!K63</f>
        <v>-20000</v>
      </c>
      <c r="L399" s="70">
        <f>'D pg 1'!L63</f>
        <v>-20000</v>
      </c>
      <c r="M399" s="70">
        <f>'D pg 1'!M63</f>
        <v>-20000</v>
      </c>
      <c r="N399" s="70">
        <f>'D pg 1'!N63</f>
        <v>-10000</v>
      </c>
      <c r="O399" s="70">
        <f>'D pg 1'!O63</f>
        <v>0</v>
      </c>
      <c r="P399" s="70">
        <f>SUM(D399:O399)</f>
        <v>-150000</v>
      </c>
    </row>
    <row r="400" spans="1:94" x14ac:dyDescent="0.25">
      <c r="A400" s="92">
        <f>A399+1</f>
        <v>40</v>
      </c>
      <c r="B400" s="51" t="str">
        <f>B396</f>
        <v xml:space="preserve">    Over 150,000 Mcf</v>
      </c>
      <c r="C400" s="141"/>
      <c r="D400" s="136">
        <f>'D pg 1'!D64</f>
        <v>-230112</v>
      </c>
      <c r="E400" s="136">
        <f>'D pg 1'!E64</f>
        <v>-228376</v>
      </c>
      <c r="F400" s="136">
        <f>'D pg 1'!F64</f>
        <v>-233376</v>
      </c>
      <c r="G400" s="136">
        <f>'D pg 1'!G64</f>
        <v>-245376</v>
      </c>
      <c r="H400" s="136">
        <f>'D pg 1'!H64</f>
        <v>-252376</v>
      </c>
      <c r="I400" s="136">
        <f>'D pg 1'!I64</f>
        <v>-261376</v>
      </c>
      <c r="J400" s="136">
        <f>'D pg 1'!J64</f>
        <v>-261376</v>
      </c>
      <c r="K400" s="136">
        <f>'D pg 1'!K64</f>
        <v>-261376</v>
      </c>
      <c r="L400" s="136">
        <f>'D pg 1'!L64</f>
        <v>-243376</v>
      </c>
      <c r="M400" s="136">
        <f>'D pg 1'!M64</f>
        <v>-218376</v>
      </c>
      <c r="N400" s="136">
        <f>'D pg 1'!N64</f>
        <v>-223376</v>
      </c>
      <c r="O400" s="136">
        <f>'D pg 1'!O64</f>
        <v>-235112</v>
      </c>
      <c r="P400" s="136">
        <f>SUM(D400:O400)</f>
        <v>-2893984</v>
      </c>
    </row>
    <row r="401" spans="1:94" x14ac:dyDescent="0.25">
      <c r="A401" s="92"/>
      <c r="B401" s="51"/>
      <c r="C401" s="141"/>
      <c r="D401" s="70">
        <f t="shared" ref="D401:N401" si="92">SUM(D399:D400)</f>
        <v>-230112</v>
      </c>
      <c r="E401" s="70">
        <f t="shared" si="92"/>
        <v>-228376</v>
      </c>
      <c r="F401" s="70">
        <f t="shared" si="92"/>
        <v>-243376</v>
      </c>
      <c r="G401" s="70">
        <f t="shared" si="92"/>
        <v>-255376</v>
      </c>
      <c r="H401" s="70">
        <f t="shared" si="92"/>
        <v>-272376</v>
      </c>
      <c r="I401" s="70">
        <f t="shared" si="92"/>
        <v>-281376</v>
      </c>
      <c r="J401" s="70">
        <f t="shared" si="92"/>
        <v>-281376</v>
      </c>
      <c r="K401" s="70">
        <f t="shared" si="92"/>
        <v>-281376</v>
      </c>
      <c r="L401" s="70">
        <f t="shared" si="92"/>
        <v>-263376</v>
      </c>
      <c r="M401" s="70">
        <f t="shared" si="92"/>
        <v>-238376</v>
      </c>
      <c r="N401" s="70">
        <f t="shared" si="92"/>
        <v>-233376</v>
      </c>
      <c r="O401" s="70">
        <f>SUM(O399:O400)</f>
        <v>-235112</v>
      </c>
      <c r="P401" s="70">
        <f>SUM(D401:O401)</f>
        <v>-3043984</v>
      </c>
    </row>
    <row r="402" spans="1:94" s="101" customFormat="1" ht="15.6" x14ac:dyDescent="0.3">
      <c r="A402" s="92">
        <f>A400+1</f>
        <v>41</v>
      </c>
      <c r="B402" s="51" t="s">
        <v>263</v>
      </c>
      <c r="C402" s="106"/>
      <c r="D402" s="103"/>
      <c r="E402" s="103"/>
      <c r="F402" s="103"/>
      <c r="G402" s="70"/>
      <c r="H402" s="70"/>
      <c r="I402" s="70"/>
      <c r="J402" s="70"/>
      <c r="K402" s="70"/>
      <c r="L402" s="70"/>
      <c r="M402" s="103"/>
      <c r="N402" s="103"/>
      <c r="O402" s="103"/>
      <c r="P402" s="104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1"/>
      <c r="BR402" s="51"/>
      <c r="BS402" s="51"/>
      <c r="BT402" s="51"/>
      <c r="BU402" s="51"/>
      <c r="BV402" s="51"/>
      <c r="BW402" s="51"/>
      <c r="BX402" s="51"/>
      <c r="BY402" s="51"/>
      <c r="BZ402" s="51"/>
      <c r="CA402" s="51"/>
      <c r="CB402" s="51"/>
      <c r="CC402" s="51"/>
      <c r="CD402" s="51"/>
      <c r="CE402" s="51"/>
      <c r="CF402" s="51"/>
      <c r="CG402" s="51"/>
      <c r="CH402" s="51"/>
      <c r="CI402" s="51"/>
      <c r="CJ402" s="51"/>
      <c r="CK402" s="51"/>
      <c r="CL402" s="51"/>
      <c r="CM402" s="51"/>
      <c r="CN402" s="51"/>
      <c r="CO402" s="51"/>
      <c r="CP402" s="51"/>
    </row>
    <row r="403" spans="1:94" ht="15.6" x14ac:dyDescent="0.3">
      <c r="A403" s="92">
        <f>A402+1</f>
        <v>42</v>
      </c>
      <c r="B403" s="51" t="str">
        <f>B399</f>
        <v xml:space="preserve">    First 150,000 Mcf</v>
      </c>
      <c r="C403" s="129"/>
      <c r="D403" s="163">
        <f>D395+D399</f>
        <v>150000</v>
      </c>
      <c r="E403" s="163">
        <f t="shared" ref="E403:O403" si="93">E395+E399</f>
        <v>150000</v>
      </c>
      <c r="F403" s="163">
        <f t="shared" si="93"/>
        <v>140000</v>
      </c>
      <c r="G403" s="163">
        <f t="shared" si="93"/>
        <v>140000</v>
      </c>
      <c r="H403" s="163">
        <f t="shared" si="93"/>
        <v>130000</v>
      </c>
      <c r="I403" s="163">
        <f t="shared" si="93"/>
        <v>130000</v>
      </c>
      <c r="J403" s="163">
        <f t="shared" si="93"/>
        <v>130000</v>
      </c>
      <c r="K403" s="163">
        <f t="shared" si="93"/>
        <v>130000</v>
      </c>
      <c r="L403" s="163">
        <f t="shared" si="93"/>
        <v>130000</v>
      </c>
      <c r="M403" s="163">
        <f t="shared" si="93"/>
        <v>130000</v>
      </c>
      <c r="N403" s="163">
        <f t="shared" si="93"/>
        <v>140000</v>
      </c>
      <c r="O403" s="163">
        <f t="shared" si="93"/>
        <v>150000</v>
      </c>
      <c r="P403" s="103">
        <f>SUM(D403:O403)</f>
        <v>1650000</v>
      </c>
      <c r="S403" s="133"/>
    </row>
    <row r="404" spans="1:94" ht="15.6" x14ac:dyDescent="0.3">
      <c r="A404" s="92">
        <f>A403+1</f>
        <v>43</v>
      </c>
      <c r="B404" s="51" t="str">
        <f>B400</f>
        <v xml:space="preserve">    Over 150,000 Mcf</v>
      </c>
      <c r="C404" s="129"/>
      <c r="D404" s="138">
        <f>D396+D400</f>
        <v>15000</v>
      </c>
      <c r="E404" s="138">
        <f>E396+E400</f>
        <v>5000</v>
      </c>
      <c r="F404" s="138">
        <f>F396+F400</f>
        <v>0</v>
      </c>
      <c r="G404" s="138">
        <f t="shared" ref="G404:O404" si="94">G396+G400</f>
        <v>-12000</v>
      </c>
      <c r="H404" s="138">
        <f t="shared" si="94"/>
        <v>-19000</v>
      </c>
      <c r="I404" s="138">
        <f t="shared" si="94"/>
        <v>-28000</v>
      </c>
      <c r="J404" s="138">
        <f t="shared" si="94"/>
        <v>-28000</v>
      </c>
      <c r="K404" s="138">
        <f t="shared" si="94"/>
        <v>-28000</v>
      </c>
      <c r="L404" s="138">
        <f t="shared" si="94"/>
        <v>-10000</v>
      </c>
      <c r="M404" s="138">
        <f t="shared" si="94"/>
        <v>15000</v>
      </c>
      <c r="N404" s="138">
        <f t="shared" si="94"/>
        <v>10000</v>
      </c>
      <c r="O404" s="138">
        <f t="shared" si="94"/>
        <v>10000</v>
      </c>
      <c r="P404" s="138">
        <f>SUM(D404:O404)</f>
        <v>-70000</v>
      </c>
      <c r="S404" s="133"/>
    </row>
    <row r="405" spans="1:94" s="51" customFormat="1" ht="15.6" x14ac:dyDescent="0.3">
      <c r="A405" s="92">
        <f>A404+1</f>
        <v>44</v>
      </c>
      <c r="B405" s="51" t="s">
        <v>361</v>
      </c>
      <c r="C405" s="129"/>
      <c r="D405" s="163">
        <f>D397+D401</f>
        <v>165000</v>
      </c>
      <c r="E405" s="163">
        <f t="shared" ref="E405:O405" si="95">E397+E401</f>
        <v>155000</v>
      </c>
      <c r="F405" s="163">
        <f t="shared" si="95"/>
        <v>140000</v>
      </c>
      <c r="G405" s="163">
        <f t="shared" si="95"/>
        <v>128000</v>
      </c>
      <c r="H405" s="163">
        <f t="shared" si="95"/>
        <v>111000</v>
      </c>
      <c r="I405" s="163">
        <f t="shared" si="95"/>
        <v>102000</v>
      </c>
      <c r="J405" s="163">
        <f t="shared" si="95"/>
        <v>102000</v>
      </c>
      <c r="K405" s="163">
        <f t="shared" si="95"/>
        <v>102000</v>
      </c>
      <c r="L405" s="163">
        <f t="shared" si="95"/>
        <v>120000</v>
      </c>
      <c r="M405" s="163">
        <f t="shared" si="95"/>
        <v>145000</v>
      </c>
      <c r="N405" s="163">
        <f t="shared" si="95"/>
        <v>150000</v>
      </c>
      <c r="O405" s="163">
        <f t="shared" si="95"/>
        <v>160000</v>
      </c>
      <c r="P405" s="103">
        <f>SUM(D405:O405)</f>
        <v>1580000</v>
      </c>
      <c r="S405" s="133"/>
    </row>
    <row r="406" spans="1:94" s="51" customFormat="1" ht="15.6" x14ac:dyDescent="0.3">
      <c r="A406" s="92"/>
      <c r="C406" s="129"/>
      <c r="D406" s="381"/>
      <c r="E406" s="381"/>
      <c r="F406" s="381"/>
      <c r="G406" s="381"/>
      <c r="H406" s="381"/>
      <c r="I406" s="381"/>
      <c r="J406" s="381"/>
      <c r="K406" s="381"/>
      <c r="L406" s="381"/>
      <c r="M406" s="381"/>
      <c r="N406" s="381"/>
      <c r="O406" s="381"/>
      <c r="P406" s="103"/>
      <c r="S406" s="133"/>
    </row>
    <row r="407" spans="1:94" s="51" customFormat="1" ht="15.6" x14ac:dyDescent="0.3">
      <c r="A407" s="984" t="str">
        <f>CONAME</f>
        <v>Columbia Gas of Kentucky, Inc.</v>
      </c>
      <c r="B407" s="984"/>
      <c r="C407" s="984"/>
      <c r="D407" s="984"/>
      <c r="E407" s="984"/>
      <c r="F407" s="984"/>
      <c r="G407" s="984"/>
      <c r="H407" s="984"/>
      <c r="I407" s="984"/>
      <c r="J407" s="984"/>
      <c r="K407" s="984"/>
      <c r="L407" s="984"/>
      <c r="M407" s="984"/>
      <c r="N407" s="984"/>
      <c r="O407" s="984"/>
      <c r="P407" s="984"/>
      <c r="S407" s="133"/>
    </row>
    <row r="408" spans="1:94" s="51" customFormat="1" ht="15.6" x14ac:dyDescent="0.3">
      <c r="A408" s="984" t="s">
        <v>197</v>
      </c>
      <c r="B408" s="984"/>
      <c r="C408" s="984"/>
      <c r="D408" s="984"/>
      <c r="E408" s="984"/>
      <c r="F408" s="984"/>
      <c r="G408" s="984"/>
      <c r="H408" s="984"/>
      <c r="I408" s="984"/>
      <c r="J408" s="984"/>
      <c r="K408" s="984"/>
      <c r="L408" s="984"/>
      <c r="M408" s="984"/>
      <c r="N408" s="984"/>
      <c r="O408" s="984"/>
      <c r="P408" s="984"/>
      <c r="S408" s="133"/>
    </row>
    <row r="409" spans="1:94" s="51" customFormat="1" ht="15.6" x14ac:dyDescent="0.3">
      <c r="A409" s="983" t="str">
        <f>TYDESC</f>
        <v>For the 12 Months Ended December 31, 2017</v>
      </c>
      <c r="B409" s="983"/>
      <c r="C409" s="983"/>
      <c r="D409" s="983"/>
      <c r="E409" s="983"/>
      <c r="F409" s="983"/>
      <c r="G409" s="983"/>
      <c r="H409" s="983"/>
      <c r="I409" s="983"/>
      <c r="J409" s="983"/>
      <c r="K409" s="983"/>
      <c r="L409" s="983"/>
      <c r="M409" s="983"/>
      <c r="N409" s="983"/>
      <c r="O409" s="983"/>
      <c r="P409" s="983"/>
      <c r="S409" s="133"/>
    </row>
    <row r="410" spans="1:94" s="51" customFormat="1" ht="15.6" x14ac:dyDescent="0.3">
      <c r="A410" s="98" t="str">
        <f>$A$5</f>
        <v>Data: __ Base Period_X_Forecasted Period</v>
      </c>
      <c r="C410" s="106"/>
      <c r="D410" s="106"/>
      <c r="E410" s="106"/>
      <c r="F410" s="106"/>
      <c r="G410" s="94"/>
      <c r="H410" s="94"/>
      <c r="I410" s="94"/>
      <c r="J410" s="94"/>
      <c r="K410" s="94"/>
      <c r="L410" s="94"/>
      <c r="M410" s="94"/>
      <c r="N410" s="94"/>
      <c r="O410" s="94"/>
      <c r="P410" s="324" t="str">
        <f>$P$5</f>
        <v>Workpaper WPM-C.2</v>
      </c>
      <c r="S410" s="133"/>
    </row>
    <row r="411" spans="1:94" s="51" customFormat="1" ht="15.6" x14ac:dyDescent="0.3">
      <c r="A411" s="98" t="str">
        <f>$A$6</f>
        <v>Type of Filing: X Original _ Update _ Revised</v>
      </c>
      <c r="C411" s="106"/>
      <c r="D411" s="106"/>
      <c r="E411" s="106"/>
      <c r="F411" s="106"/>
      <c r="G411" s="94"/>
      <c r="H411" s="94"/>
      <c r="I411" s="94"/>
      <c r="J411" s="94"/>
      <c r="K411" s="94"/>
      <c r="L411" s="94"/>
      <c r="M411" s="94"/>
      <c r="N411" s="94"/>
      <c r="O411" s="94"/>
      <c r="P411" s="325" t="s">
        <v>370</v>
      </c>
      <c r="S411" s="133"/>
    </row>
    <row r="412" spans="1:94" s="51" customFormat="1" ht="15.6" x14ac:dyDescent="0.3">
      <c r="A412" s="98" t="str">
        <f>$A$7</f>
        <v>Work Paper Reference No(s):</v>
      </c>
      <c r="C412" s="106"/>
      <c r="D412" s="106"/>
      <c r="E412" s="106"/>
      <c r="F412" s="106"/>
      <c r="G412" s="94"/>
      <c r="H412" s="94"/>
      <c r="I412" s="94"/>
      <c r="J412" s="94"/>
      <c r="K412" s="94"/>
      <c r="L412" s="94"/>
      <c r="M412" s="94"/>
      <c r="N412" s="94"/>
      <c r="O412" s="94"/>
      <c r="P412" s="325"/>
      <c r="S412" s="133"/>
    </row>
    <row r="413" spans="1:94" s="51" customFormat="1" ht="15.6" x14ac:dyDescent="0.3">
      <c r="A413" s="130" t="str">
        <f>$A$8</f>
        <v>12 Months Forecasted</v>
      </c>
      <c r="B413" s="122"/>
      <c r="C413" s="106"/>
      <c r="D413" s="326"/>
      <c r="E413" s="106"/>
      <c r="F413" s="327"/>
      <c r="G413" s="328"/>
      <c r="H413" s="327"/>
      <c r="I413" s="329"/>
      <c r="J413" s="327"/>
      <c r="K413" s="327"/>
      <c r="L413" s="327"/>
      <c r="M413" s="327"/>
      <c r="N413" s="327"/>
      <c r="O413" s="327"/>
      <c r="P413" s="308"/>
      <c r="S413" s="133"/>
    </row>
    <row r="414" spans="1:94" s="51" customFormat="1" ht="15.6" x14ac:dyDescent="0.3">
      <c r="A414" s="99"/>
      <c r="B414" s="122"/>
      <c r="C414" s="106"/>
      <c r="D414" s="326"/>
      <c r="E414" s="106"/>
      <c r="F414" s="327"/>
      <c r="G414" s="328"/>
      <c r="H414" s="327"/>
      <c r="I414" s="329"/>
      <c r="J414" s="327"/>
      <c r="K414" s="327"/>
      <c r="L414" s="327"/>
      <c r="M414" s="327"/>
      <c r="N414" s="327"/>
      <c r="O414" s="327"/>
      <c r="P414" s="308"/>
      <c r="S414" s="133"/>
    </row>
    <row r="415" spans="1:94" s="51" customFormat="1" ht="15.6" x14ac:dyDescent="0.3">
      <c r="A415" s="122" t="s">
        <v>1</v>
      </c>
      <c r="B415" s="122"/>
      <c r="C415" s="106"/>
      <c r="D415" s="326"/>
      <c r="E415" s="106"/>
      <c r="F415" s="327"/>
      <c r="G415" s="328"/>
      <c r="H415" s="327"/>
      <c r="I415" s="329"/>
      <c r="J415" s="327"/>
      <c r="K415" s="327"/>
      <c r="L415" s="327"/>
      <c r="M415" s="327"/>
      <c r="N415" s="327"/>
      <c r="O415" s="327"/>
      <c r="P415" s="308"/>
      <c r="S415" s="133"/>
    </row>
    <row r="416" spans="1:94" s="51" customFormat="1" ht="15.6" x14ac:dyDescent="0.3">
      <c r="A416" s="310" t="s">
        <v>3</v>
      </c>
      <c r="B416" s="310" t="s">
        <v>4</v>
      </c>
      <c r="C416" s="311" t="s">
        <v>186</v>
      </c>
      <c r="D416" s="312" t="str">
        <f>B!$D$11</f>
        <v>Jan-17</v>
      </c>
      <c r="E416" s="312" t="str">
        <f>B!$E$11</f>
        <v>Feb-17</v>
      </c>
      <c r="F416" s="312" t="str">
        <f>B!$F$11</f>
        <v>Mar-17</v>
      </c>
      <c r="G416" s="312" t="str">
        <f>B!$G$11</f>
        <v>Apr-17</v>
      </c>
      <c r="H416" s="312" t="str">
        <f>B!$H$11</f>
        <v>May-17</v>
      </c>
      <c r="I416" s="312" t="str">
        <f>B!$I$11</f>
        <v>Jun-17</v>
      </c>
      <c r="J416" s="312" t="str">
        <f>B!$J$11</f>
        <v>Jul-17</v>
      </c>
      <c r="K416" s="312" t="str">
        <f>B!$K$11</f>
        <v>Aug-17</v>
      </c>
      <c r="L416" s="312" t="str">
        <f>B!$L$11</f>
        <v>Sep-17</v>
      </c>
      <c r="M416" s="312" t="str">
        <f>B!$M$11</f>
        <v>Oct-17</v>
      </c>
      <c r="N416" s="312" t="str">
        <f>B!$N$11</f>
        <v>Nov-17</v>
      </c>
      <c r="O416" s="312" t="str">
        <f>B!$O$11</f>
        <v>Dec-17</v>
      </c>
      <c r="P416" s="216" t="s">
        <v>9</v>
      </c>
      <c r="S416" s="133"/>
    </row>
    <row r="417" spans="1:19" s="51" customFormat="1" ht="15.6" x14ac:dyDescent="0.3">
      <c r="A417" s="122"/>
      <c r="B417" s="133" t="s">
        <v>42</v>
      </c>
      <c r="C417" s="129" t="s">
        <v>43</v>
      </c>
      <c r="D417" s="307" t="s">
        <v>45</v>
      </c>
      <c r="E417" s="307" t="s">
        <v>46</v>
      </c>
      <c r="F417" s="307" t="s">
        <v>49</v>
      </c>
      <c r="G417" s="307" t="s">
        <v>50</v>
      </c>
      <c r="H417" s="307" t="s">
        <v>51</v>
      </c>
      <c r="I417" s="307" t="s">
        <v>52</v>
      </c>
      <c r="J417" s="307" t="s">
        <v>53</v>
      </c>
      <c r="K417" s="134" t="s">
        <v>54</v>
      </c>
      <c r="L417" s="134" t="s">
        <v>55</v>
      </c>
      <c r="M417" s="134" t="s">
        <v>56</v>
      </c>
      <c r="N417" s="134" t="s">
        <v>57</v>
      </c>
      <c r="O417" s="134" t="s">
        <v>58</v>
      </c>
      <c r="P417" s="134" t="s">
        <v>59</v>
      </c>
      <c r="S417" s="133"/>
    </row>
    <row r="418" spans="1:19" ht="16.2" thickBot="1" x14ac:dyDescent="0.35">
      <c r="A418" s="122"/>
      <c r="B418" s="122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22"/>
      <c r="S418" s="133"/>
    </row>
    <row r="419" spans="1:19" ht="15.6" x14ac:dyDescent="0.3">
      <c r="A419" s="139">
        <v>1</v>
      </c>
      <c r="B419" s="123" t="s">
        <v>15</v>
      </c>
      <c r="C419" s="124"/>
      <c r="D419" s="124"/>
      <c r="E419" s="124"/>
      <c r="F419" s="124"/>
      <c r="G419" s="124"/>
      <c r="H419" s="124"/>
      <c r="I419" s="124"/>
      <c r="J419" s="124"/>
      <c r="K419" s="146"/>
      <c r="L419" s="146"/>
      <c r="M419" s="146"/>
      <c r="N419" s="146"/>
      <c r="O419" s="146"/>
      <c r="P419" s="140"/>
    </row>
    <row r="420" spans="1:19" x14ac:dyDescent="0.25">
      <c r="A420" s="127"/>
      <c r="B420" s="51"/>
      <c r="C420" s="86"/>
      <c r="D420" s="86"/>
      <c r="E420" s="86"/>
      <c r="F420" s="86"/>
      <c r="G420" s="86"/>
      <c r="H420" s="86"/>
      <c r="I420" s="86"/>
      <c r="J420" s="86"/>
      <c r="K420" s="94"/>
      <c r="L420" s="94"/>
      <c r="M420" s="94"/>
      <c r="N420" s="94"/>
      <c r="O420" s="94"/>
      <c r="P420" s="126"/>
    </row>
    <row r="421" spans="1:19" x14ac:dyDescent="0.25">
      <c r="A421" s="127">
        <f>A419+1</f>
        <v>2</v>
      </c>
      <c r="B421" s="51" t="s">
        <v>35</v>
      </c>
      <c r="C421" s="86"/>
      <c r="D421" s="86"/>
      <c r="E421" s="86"/>
      <c r="F421" s="86"/>
      <c r="G421" s="86"/>
      <c r="H421" s="86"/>
      <c r="I421" s="86"/>
      <c r="J421" s="86"/>
      <c r="K421" s="94"/>
      <c r="L421" s="94"/>
      <c r="M421" s="94"/>
      <c r="N421" s="94"/>
      <c r="O421" s="94"/>
      <c r="P421" s="126"/>
    </row>
    <row r="422" spans="1:19" x14ac:dyDescent="0.25">
      <c r="A422" s="127">
        <f>A421+1</f>
        <v>3</v>
      </c>
      <c r="B422" s="51" t="s">
        <v>360</v>
      </c>
      <c r="C422" s="86"/>
      <c r="D422" s="86">
        <f t="shared" ref="D422:O422" si="96">D185</f>
        <v>364000</v>
      </c>
      <c r="E422" s="86">
        <f t="shared" si="96"/>
        <v>353000</v>
      </c>
      <c r="F422" s="86">
        <f t="shared" si="96"/>
        <v>265000</v>
      </c>
      <c r="G422" s="86">
        <f t="shared" si="96"/>
        <v>151000</v>
      </c>
      <c r="H422" s="86">
        <f t="shared" si="96"/>
        <v>71000</v>
      </c>
      <c r="I422" s="86">
        <f t="shared" si="96"/>
        <v>34000</v>
      </c>
      <c r="J422" s="86">
        <f t="shared" si="96"/>
        <v>24000</v>
      </c>
      <c r="K422" s="86">
        <f t="shared" si="96"/>
        <v>23000</v>
      </c>
      <c r="L422" s="86">
        <f t="shared" si="96"/>
        <v>25000</v>
      </c>
      <c r="M422" s="86">
        <f t="shared" si="96"/>
        <v>39000</v>
      </c>
      <c r="N422" s="86">
        <f t="shared" si="96"/>
        <v>111000</v>
      </c>
      <c r="O422" s="86">
        <f t="shared" si="96"/>
        <v>247000</v>
      </c>
      <c r="P422" s="147">
        <f>SUM(D422:O422)</f>
        <v>1707000</v>
      </c>
    </row>
    <row r="423" spans="1:19" x14ac:dyDescent="0.25">
      <c r="A423" s="127">
        <f>A422+1</f>
        <v>4</v>
      </c>
      <c r="B423" s="51" t="s">
        <v>244</v>
      </c>
      <c r="C423" s="86"/>
      <c r="D423" s="121">
        <f t="shared" ref="D423:O423" si="97">D186</f>
        <v>0</v>
      </c>
      <c r="E423" s="121">
        <f t="shared" si="97"/>
        <v>0</v>
      </c>
      <c r="F423" s="121">
        <f t="shared" si="97"/>
        <v>0</v>
      </c>
      <c r="G423" s="121">
        <f t="shared" si="97"/>
        <v>0</v>
      </c>
      <c r="H423" s="121">
        <f t="shared" si="97"/>
        <v>0</v>
      </c>
      <c r="I423" s="121">
        <f t="shared" si="97"/>
        <v>0</v>
      </c>
      <c r="J423" s="121">
        <f t="shared" si="97"/>
        <v>0</v>
      </c>
      <c r="K423" s="121">
        <f t="shared" si="97"/>
        <v>0</v>
      </c>
      <c r="L423" s="121">
        <f t="shared" si="97"/>
        <v>0</v>
      </c>
      <c r="M423" s="121">
        <f t="shared" si="97"/>
        <v>0</v>
      </c>
      <c r="N423" s="121">
        <f t="shared" si="97"/>
        <v>0</v>
      </c>
      <c r="O423" s="121">
        <f t="shared" si="97"/>
        <v>0</v>
      </c>
      <c r="P423" s="350">
        <f>SUM(D423:O423)</f>
        <v>0</v>
      </c>
    </row>
    <row r="424" spans="1:19" x14ac:dyDescent="0.25">
      <c r="A424" s="127">
        <f>A423+1</f>
        <v>5</v>
      </c>
      <c r="B424" s="51" t="s">
        <v>263</v>
      </c>
      <c r="C424" s="86"/>
      <c r="D424" s="86">
        <f t="shared" ref="D424:O424" si="98">SUM(D422:D423)</f>
        <v>364000</v>
      </c>
      <c r="E424" s="86">
        <f t="shared" si="98"/>
        <v>353000</v>
      </c>
      <c r="F424" s="86">
        <f t="shared" si="98"/>
        <v>265000</v>
      </c>
      <c r="G424" s="86">
        <f t="shared" si="98"/>
        <v>151000</v>
      </c>
      <c r="H424" s="86">
        <f t="shared" si="98"/>
        <v>71000</v>
      </c>
      <c r="I424" s="86">
        <f t="shared" si="98"/>
        <v>34000</v>
      </c>
      <c r="J424" s="86">
        <f t="shared" si="98"/>
        <v>24000</v>
      </c>
      <c r="K424" s="86">
        <f t="shared" si="98"/>
        <v>23000</v>
      </c>
      <c r="L424" s="86">
        <f t="shared" si="98"/>
        <v>25000</v>
      </c>
      <c r="M424" s="86">
        <f t="shared" si="98"/>
        <v>39000</v>
      </c>
      <c r="N424" s="86">
        <f t="shared" si="98"/>
        <v>111000</v>
      </c>
      <c r="O424" s="86">
        <f t="shared" si="98"/>
        <v>247000</v>
      </c>
      <c r="P424" s="147">
        <f>SUM(D424:O424)</f>
        <v>1707000</v>
      </c>
    </row>
    <row r="425" spans="1:19" x14ac:dyDescent="0.25">
      <c r="A425" s="127"/>
      <c r="B425" s="51"/>
      <c r="C425" s="86"/>
      <c r="D425" s="86"/>
      <c r="E425" s="86"/>
      <c r="F425" s="86"/>
      <c r="G425" s="86"/>
      <c r="H425" s="86"/>
      <c r="I425" s="86"/>
      <c r="J425" s="86"/>
      <c r="K425" s="94"/>
      <c r="L425" s="94"/>
      <c r="M425" s="94"/>
      <c r="N425" s="94"/>
      <c r="O425" s="94"/>
      <c r="P425" s="125"/>
    </row>
    <row r="426" spans="1:19" x14ac:dyDescent="0.25">
      <c r="A426" s="127">
        <f>A424+1</f>
        <v>6</v>
      </c>
      <c r="B426" s="51" t="s">
        <v>16</v>
      </c>
      <c r="C426" s="86"/>
      <c r="D426" s="86"/>
      <c r="E426" s="86"/>
      <c r="F426" s="86"/>
      <c r="G426" s="86"/>
      <c r="H426" s="86"/>
      <c r="I426" s="86"/>
      <c r="J426" s="86"/>
      <c r="K426" s="94"/>
      <c r="L426" s="94"/>
      <c r="M426" s="94"/>
      <c r="N426" s="94"/>
      <c r="O426" s="94"/>
      <c r="P426" s="126"/>
    </row>
    <row r="427" spans="1:19" x14ac:dyDescent="0.25">
      <c r="A427" s="127">
        <f>A426+1</f>
        <v>7</v>
      </c>
      <c r="B427" s="51" t="s">
        <v>360</v>
      </c>
      <c r="C427" s="86"/>
      <c r="D427" s="86">
        <f t="shared" ref="D427:O427" si="99">D195+D247+D295+D335+D353+D381</f>
        <v>655000.69999999995</v>
      </c>
      <c r="E427" s="86">
        <f t="shared" si="99"/>
        <v>622002.5</v>
      </c>
      <c r="F427" s="86">
        <f t="shared" si="99"/>
        <v>509001.3</v>
      </c>
      <c r="G427" s="86">
        <f t="shared" si="99"/>
        <v>357004</v>
      </c>
      <c r="H427" s="86">
        <f t="shared" si="99"/>
        <v>261998.6</v>
      </c>
      <c r="I427" s="86">
        <f t="shared" si="99"/>
        <v>220999.9</v>
      </c>
      <c r="J427" s="86">
        <f t="shared" si="99"/>
        <v>214999.2</v>
      </c>
      <c r="K427" s="86">
        <f t="shared" si="99"/>
        <v>211001.1</v>
      </c>
      <c r="L427" s="86">
        <f t="shared" si="99"/>
        <v>231998</v>
      </c>
      <c r="M427" s="86">
        <f t="shared" si="99"/>
        <v>296994.60000000003</v>
      </c>
      <c r="N427" s="86">
        <f t="shared" si="99"/>
        <v>402994.69999999995</v>
      </c>
      <c r="O427" s="86">
        <f t="shared" si="99"/>
        <v>535996.69999999995</v>
      </c>
      <c r="P427" s="147">
        <f>SUM(D427:O427)</f>
        <v>4519991.3000000007</v>
      </c>
    </row>
    <row r="428" spans="1:19" x14ac:dyDescent="0.25">
      <c r="A428" s="127">
        <f>A427+1</f>
        <v>8</v>
      </c>
      <c r="B428" s="51" t="s">
        <v>244</v>
      </c>
      <c r="C428" s="86"/>
      <c r="D428" s="121">
        <f t="shared" ref="D428:O428" si="100">D201+D252+D301+D336+D354+D386</f>
        <v>0</v>
      </c>
      <c r="E428" s="121">
        <f t="shared" si="100"/>
        <v>0</v>
      </c>
      <c r="F428" s="121">
        <f t="shared" si="100"/>
        <v>0</v>
      </c>
      <c r="G428" s="121">
        <f t="shared" si="100"/>
        <v>0</v>
      </c>
      <c r="H428" s="121">
        <f t="shared" si="100"/>
        <v>0</v>
      </c>
      <c r="I428" s="121">
        <f t="shared" si="100"/>
        <v>0</v>
      </c>
      <c r="J428" s="121">
        <f t="shared" si="100"/>
        <v>0</v>
      </c>
      <c r="K428" s="121">
        <f t="shared" si="100"/>
        <v>0</v>
      </c>
      <c r="L428" s="121">
        <f t="shared" si="100"/>
        <v>0</v>
      </c>
      <c r="M428" s="121">
        <f t="shared" si="100"/>
        <v>0</v>
      </c>
      <c r="N428" s="121">
        <f t="shared" si="100"/>
        <v>0</v>
      </c>
      <c r="O428" s="121">
        <f t="shared" si="100"/>
        <v>0</v>
      </c>
      <c r="P428" s="350">
        <f>SUM(D428:O428)</f>
        <v>0</v>
      </c>
    </row>
    <row r="429" spans="1:19" x14ac:dyDescent="0.25">
      <c r="A429" s="127">
        <f>A428+1</f>
        <v>9</v>
      </c>
      <c r="B429" s="51" t="s">
        <v>263</v>
      </c>
      <c r="C429" s="86"/>
      <c r="D429" s="86">
        <f t="shared" ref="D429:O429" si="101">SUM(D427:D428)</f>
        <v>655000.69999999995</v>
      </c>
      <c r="E429" s="86">
        <f t="shared" si="101"/>
        <v>622002.5</v>
      </c>
      <c r="F429" s="86">
        <f t="shared" si="101"/>
        <v>509001.3</v>
      </c>
      <c r="G429" s="86">
        <f t="shared" si="101"/>
        <v>357004</v>
      </c>
      <c r="H429" s="86">
        <f t="shared" si="101"/>
        <v>261998.6</v>
      </c>
      <c r="I429" s="86">
        <f t="shared" si="101"/>
        <v>220999.9</v>
      </c>
      <c r="J429" s="86">
        <f t="shared" si="101"/>
        <v>214999.2</v>
      </c>
      <c r="K429" s="86">
        <f t="shared" si="101"/>
        <v>211001.1</v>
      </c>
      <c r="L429" s="86">
        <f t="shared" si="101"/>
        <v>231998</v>
      </c>
      <c r="M429" s="86">
        <f t="shared" si="101"/>
        <v>296994.60000000003</v>
      </c>
      <c r="N429" s="86">
        <f t="shared" si="101"/>
        <v>402994.69999999995</v>
      </c>
      <c r="O429" s="86">
        <f t="shared" si="101"/>
        <v>535996.69999999995</v>
      </c>
      <c r="P429" s="147">
        <f>SUM(D429:O429)</f>
        <v>4519991.3000000007</v>
      </c>
    </row>
    <row r="430" spans="1:19" x14ac:dyDescent="0.25">
      <c r="A430" s="127"/>
      <c r="B430" s="51"/>
      <c r="C430" s="86"/>
      <c r="D430" s="86"/>
      <c r="E430" s="86"/>
      <c r="F430" s="86"/>
      <c r="G430" s="86"/>
      <c r="H430" s="86"/>
      <c r="I430" s="86"/>
      <c r="J430" s="86"/>
      <c r="K430" s="94"/>
      <c r="L430" s="94"/>
      <c r="M430" s="94"/>
      <c r="N430" s="94"/>
      <c r="O430" s="94"/>
      <c r="P430" s="125"/>
    </row>
    <row r="431" spans="1:19" x14ac:dyDescent="0.25">
      <c r="A431" s="127">
        <f>A429+1</f>
        <v>10</v>
      </c>
      <c r="B431" s="94" t="s">
        <v>17</v>
      </c>
      <c r="C431" s="121"/>
      <c r="D431" s="121"/>
      <c r="E431" s="121"/>
      <c r="F431" s="121"/>
      <c r="G431" s="121"/>
      <c r="H431" s="121"/>
      <c r="I431" s="121"/>
      <c r="J431" s="121"/>
      <c r="K431" s="94"/>
      <c r="L431" s="94"/>
      <c r="M431" s="94"/>
      <c r="N431" s="94"/>
      <c r="O431" s="94"/>
      <c r="P431" s="126"/>
    </row>
    <row r="432" spans="1:19" x14ac:dyDescent="0.25">
      <c r="A432" s="127">
        <f>A431+1</f>
        <v>11</v>
      </c>
      <c r="B432" s="51" t="s">
        <v>360</v>
      </c>
      <c r="C432" s="121"/>
      <c r="D432" s="86">
        <f>D228+D264+D315+D330+D358+D366++D397</f>
        <v>1617969.9</v>
      </c>
      <c r="E432" s="86">
        <f t="shared" ref="E432:O432" si="102">E228+E264+E315+E330+E358+E366++E397</f>
        <v>1471580.7000000002</v>
      </c>
      <c r="F432" s="86">
        <f t="shared" si="102"/>
        <v>1427659.9</v>
      </c>
      <c r="G432" s="86">
        <f t="shared" si="102"/>
        <v>1309659.7</v>
      </c>
      <c r="H432" s="86">
        <f t="shared" si="102"/>
        <v>1261660.1000000001</v>
      </c>
      <c r="I432" s="86">
        <f t="shared" si="102"/>
        <v>1217659.8999999999</v>
      </c>
      <c r="J432" s="86">
        <f t="shared" si="102"/>
        <v>1180659.8</v>
      </c>
      <c r="K432" s="86">
        <f t="shared" si="102"/>
        <v>1227660</v>
      </c>
      <c r="L432" s="86">
        <f t="shared" si="102"/>
        <v>1252990</v>
      </c>
      <c r="M432" s="86">
        <f t="shared" si="102"/>
        <v>1363990.2</v>
      </c>
      <c r="N432" s="86">
        <f t="shared" si="102"/>
        <v>1451870</v>
      </c>
      <c r="O432" s="86">
        <f t="shared" si="102"/>
        <v>1494880</v>
      </c>
      <c r="P432" s="147">
        <f>SUM(D432:O432)</f>
        <v>16278240.200000001</v>
      </c>
    </row>
    <row r="433" spans="1:19" x14ac:dyDescent="0.25">
      <c r="A433" s="127">
        <f>A432+1</f>
        <v>12</v>
      </c>
      <c r="B433" s="51" t="s">
        <v>244</v>
      </c>
      <c r="C433" s="121"/>
      <c r="D433" s="121">
        <f>D234+D269+D321+D331+D359+D370+D401</f>
        <v>-240112</v>
      </c>
      <c r="E433" s="121">
        <f t="shared" ref="E433:O433" si="103">E234+E269+E321+E331+E359+E370+E401</f>
        <v>-238376</v>
      </c>
      <c r="F433" s="121">
        <f t="shared" si="103"/>
        <v>-253376</v>
      </c>
      <c r="G433" s="121">
        <f t="shared" si="103"/>
        <v>-265376</v>
      </c>
      <c r="H433" s="121">
        <f t="shared" si="103"/>
        <v>-282376</v>
      </c>
      <c r="I433" s="121">
        <f t="shared" si="103"/>
        <v>-291376</v>
      </c>
      <c r="J433" s="121">
        <f t="shared" si="103"/>
        <v>-291376</v>
      </c>
      <c r="K433" s="121">
        <f t="shared" si="103"/>
        <v>-291376</v>
      </c>
      <c r="L433" s="121">
        <f t="shared" si="103"/>
        <v>-273376</v>
      </c>
      <c r="M433" s="121">
        <f t="shared" si="103"/>
        <v>-248376</v>
      </c>
      <c r="N433" s="121">
        <f t="shared" si="103"/>
        <v>-243376</v>
      </c>
      <c r="O433" s="121">
        <f t="shared" si="103"/>
        <v>-245112</v>
      </c>
      <c r="P433" s="350">
        <f>SUM(D433:O433)</f>
        <v>-3163984</v>
      </c>
    </row>
    <row r="434" spans="1:19" x14ac:dyDescent="0.25">
      <c r="A434" s="127">
        <f>A433+1</f>
        <v>13</v>
      </c>
      <c r="B434" s="51" t="s">
        <v>263</v>
      </c>
      <c r="C434" s="121"/>
      <c r="D434" s="86">
        <f t="shared" ref="D434:O434" si="104">SUM(D432:D433)</f>
        <v>1377857.9</v>
      </c>
      <c r="E434" s="86">
        <f t="shared" si="104"/>
        <v>1233204.7000000002</v>
      </c>
      <c r="F434" s="86">
        <f t="shared" si="104"/>
        <v>1174283.8999999999</v>
      </c>
      <c r="G434" s="86">
        <f t="shared" si="104"/>
        <v>1044283.7</v>
      </c>
      <c r="H434" s="86">
        <f t="shared" si="104"/>
        <v>979284.10000000009</v>
      </c>
      <c r="I434" s="86">
        <f t="shared" si="104"/>
        <v>926283.89999999991</v>
      </c>
      <c r="J434" s="86">
        <f t="shared" si="104"/>
        <v>889283.8</v>
      </c>
      <c r="K434" s="86">
        <f t="shared" si="104"/>
        <v>936284</v>
      </c>
      <c r="L434" s="86">
        <f t="shared" si="104"/>
        <v>979614</v>
      </c>
      <c r="M434" s="86">
        <f t="shared" si="104"/>
        <v>1115614.2</v>
      </c>
      <c r="N434" s="86">
        <f t="shared" si="104"/>
        <v>1208494</v>
      </c>
      <c r="O434" s="86">
        <f t="shared" si="104"/>
        <v>1249768</v>
      </c>
      <c r="P434" s="147">
        <f>SUM(D434:O434)</f>
        <v>13114256.199999999</v>
      </c>
    </row>
    <row r="435" spans="1:19" x14ac:dyDescent="0.25">
      <c r="A435" s="211"/>
      <c r="B435" s="94"/>
      <c r="C435" s="121"/>
      <c r="D435" s="121"/>
      <c r="E435" s="121"/>
      <c r="F435" s="121"/>
      <c r="G435" s="121"/>
      <c r="H435" s="121"/>
      <c r="I435" s="121"/>
      <c r="J435" s="121"/>
      <c r="K435" s="94"/>
      <c r="L435" s="94"/>
      <c r="M435" s="94"/>
      <c r="N435" s="94"/>
      <c r="O435" s="94"/>
      <c r="P435" s="125"/>
    </row>
    <row r="436" spans="1:19" ht="15.6" x14ac:dyDescent="0.3">
      <c r="A436" s="127">
        <f>A434+1</f>
        <v>14</v>
      </c>
      <c r="B436" s="50" t="s">
        <v>18</v>
      </c>
      <c r="C436" s="86"/>
      <c r="D436" s="86"/>
      <c r="E436" s="86"/>
      <c r="F436" s="86"/>
      <c r="G436" s="86"/>
      <c r="H436" s="86"/>
      <c r="I436" s="86"/>
      <c r="J436" s="86"/>
      <c r="K436" s="94"/>
      <c r="L436" s="94"/>
      <c r="M436" s="94"/>
      <c r="N436" s="94"/>
      <c r="O436" s="94"/>
      <c r="P436" s="126"/>
    </row>
    <row r="437" spans="1:19" x14ac:dyDescent="0.25">
      <c r="A437" s="127">
        <f>A436+1</f>
        <v>15</v>
      </c>
      <c r="B437" s="51" t="s">
        <v>360</v>
      </c>
      <c r="C437" s="86"/>
      <c r="D437" s="86">
        <f t="shared" ref="D437:O437" si="105">D422+D427+D432</f>
        <v>2636970.5999999996</v>
      </c>
      <c r="E437" s="86">
        <f t="shared" si="105"/>
        <v>2446583.2000000002</v>
      </c>
      <c r="F437" s="86">
        <f t="shared" si="105"/>
        <v>2201661.2000000002</v>
      </c>
      <c r="G437" s="86">
        <f t="shared" si="105"/>
        <v>1817663.7</v>
      </c>
      <c r="H437" s="86">
        <f t="shared" si="105"/>
        <v>1594658.7000000002</v>
      </c>
      <c r="I437" s="86">
        <f t="shared" si="105"/>
        <v>1472659.7999999998</v>
      </c>
      <c r="J437" s="86">
        <f t="shared" si="105"/>
        <v>1419659</v>
      </c>
      <c r="K437" s="86">
        <f t="shared" si="105"/>
        <v>1461661.1</v>
      </c>
      <c r="L437" s="86">
        <f t="shared" si="105"/>
        <v>1509988</v>
      </c>
      <c r="M437" s="86">
        <f t="shared" si="105"/>
        <v>1699984.8</v>
      </c>
      <c r="N437" s="86">
        <f t="shared" si="105"/>
        <v>1965864.7</v>
      </c>
      <c r="O437" s="86">
        <f t="shared" si="105"/>
        <v>2277876.7000000002</v>
      </c>
      <c r="P437" s="147">
        <f>SUM(D437:O437)</f>
        <v>22505231.499999996</v>
      </c>
    </row>
    <row r="438" spans="1:19" x14ac:dyDescent="0.25">
      <c r="A438" s="127">
        <f>A437+1</f>
        <v>16</v>
      </c>
      <c r="B438" s="51" t="s">
        <v>244</v>
      </c>
      <c r="C438" s="86"/>
      <c r="D438" s="121">
        <f t="shared" ref="D438:O438" si="106">D423+D428+D433</f>
        <v>-240112</v>
      </c>
      <c r="E438" s="121">
        <f t="shared" si="106"/>
        <v>-238376</v>
      </c>
      <c r="F438" s="121">
        <f t="shared" si="106"/>
        <v>-253376</v>
      </c>
      <c r="G438" s="121">
        <f t="shared" si="106"/>
        <v>-265376</v>
      </c>
      <c r="H438" s="121">
        <f t="shared" si="106"/>
        <v>-282376</v>
      </c>
      <c r="I438" s="121">
        <f t="shared" si="106"/>
        <v>-291376</v>
      </c>
      <c r="J438" s="121">
        <f t="shared" si="106"/>
        <v>-291376</v>
      </c>
      <c r="K438" s="121">
        <f t="shared" si="106"/>
        <v>-291376</v>
      </c>
      <c r="L438" s="121">
        <f t="shared" si="106"/>
        <v>-273376</v>
      </c>
      <c r="M438" s="121">
        <f t="shared" si="106"/>
        <v>-248376</v>
      </c>
      <c r="N438" s="121">
        <f t="shared" si="106"/>
        <v>-243376</v>
      </c>
      <c r="O438" s="121">
        <f t="shared" si="106"/>
        <v>-245112</v>
      </c>
      <c r="P438" s="350">
        <f>SUM(D438:O438)</f>
        <v>-3163984</v>
      </c>
    </row>
    <row r="439" spans="1:19" ht="15.6" thickBot="1" x14ac:dyDescent="0.3">
      <c r="A439" s="128">
        <f>A438+1</f>
        <v>17</v>
      </c>
      <c r="B439" s="142" t="s">
        <v>263</v>
      </c>
      <c r="C439" s="212"/>
      <c r="D439" s="212">
        <f t="shared" ref="D439:O439" si="107">SUM(D437:D438)</f>
        <v>2396858.5999999996</v>
      </c>
      <c r="E439" s="212">
        <f t="shared" si="107"/>
        <v>2208207.2000000002</v>
      </c>
      <c r="F439" s="212">
        <f t="shared" si="107"/>
        <v>1948285.2000000002</v>
      </c>
      <c r="G439" s="212">
        <f t="shared" si="107"/>
        <v>1552287.7</v>
      </c>
      <c r="H439" s="212">
        <f t="shared" si="107"/>
        <v>1312282.7000000002</v>
      </c>
      <c r="I439" s="212">
        <f t="shared" si="107"/>
        <v>1181283.7999999998</v>
      </c>
      <c r="J439" s="212">
        <f t="shared" si="107"/>
        <v>1128283</v>
      </c>
      <c r="K439" s="212">
        <f t="shared" si="107"/>
        <v>1170285.1000000001</v>
      </c>
      <c r="L439" s="212">
        <f t="shared" si="107"/>
        <v>1236612</v>
      </c>
      <c r="M439" s="212">
        <f t="shared" si="107"/>
        <v>1451608.8</v>
      </c>
      <c r="N439" s="212">
        <f t="shared" si="107"/>
        <v>1722488.7</v>
      </c>
      <c r="O439" s="212">
        <f t="shared" si="107"/>
        <v>2032764.7000000002</v>
      </c>
      <c r="P439" s="145">
        <f>SUM(D439:O439)</f>
        <v>19341247.5</v>
      </c>
    </row>
    <row r="440" spans="1:19" x14ac:dyDescent="0.25">
      <c r="A440" s="92"/>
      <c r="B440" s="51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70"/>
    </row>
    <row r="441" spans="1:19" x14ac:dyDescent="0.25">
      <c r="A441" s="92"/>
      <c r="B441" s="51"/>
      <c r="C441" s="86"/>
      <c r="D441" s="86"/>
      <c r="E441" s="86"/>
      <c r="F441" s="86"/>
      <c r="G441" s="86"/>
      <c r="H441" s="86"/>
      <c r="I441" s="86"/>
      <c r="J441" s="86"/>
      <c r="K441" s="94"/>
      <c r="L441" s="94"/>
      <c r="M441" s="94"/>
      <c r="N441" s="94"/>
      <c r="O441" s="94"/>
      <c r="P441" s="52"/>
    </row>
    <row r="442" spans="1:19" ht="15.6" thickBot="1" x14ac:dyDescent="0.3">
      <c r="A442" s="92"/>
      <c r="B442" s="51"/>
      <c r="C442" s="86"/>
      <c r="D442" s="86"/>
      <c r="E442" s="86"/>
      <c r="F442" s="86"/>
      <c r="G442" s="86"/>
      <c r="H442" s="86"/>
      <c r="I442" s="86"/>
      <c r="J442" s="86"/>
      <c r="K442" s="94"/>
      <c r="L442" s="94"/>
      <c r="M442" s="94"/>
      <c r="N442" s="94"/>
      <c r="O442" s="94"/>
      <c r="P442" s="51"/>
    </row>
    <row r="443" spans="1:19" ht="15.6" x14ac:dyDescent="0.3">
      <c r="A443" s="139">
        <f>A439+1</f>
        <v>18</v>
      </c>
      <c r="B443" s="123" t="s">
        <v>19</v>
      </c>
      <c r="C443" s="124"/>
      <c r="D443" s="124"/>
      <c r="E443" s="124"/>
      <c r="F443" s="124"/>
      <c r="G443" s="124"/>
      <c r="H443" s="124"/>
      <c r="I443" s="124"/>
      <c r="J443" s="124"/>
      <c r="K443" s="146"/>
      <c r="L443" s="146"/>
      <c r="M443" s="146"/>
      <c r="N443" s="146"/>
      <c r="O443" s="146"/>
      <c r="P443" s="140"/>
    </row>
    <row r="444" spans="1:19" x14ac:dyDescent="0.25">
      <c r="A444" s="127">
        <f>A443+1</f>
        <v>19</v>
      </c>
      <c r="B444" s="51" t="s">
        <v>360</v>
      </c>
      <c r="C444" s="86"/>
      <c r="D444" s="86">
        <f t="shared" ref="D444:O444" si="108">D179+D437</f>
        <v>4649969.3</v>
      </c>
      <c r="E444" s="86">
        <f t="shared" si="108"/>
        <v>4410589.8</v>
      </c>
      <c r="F444" s="86">
        <f t="shared" si="108"/>
        <v>3641668.7</v>
      </c>
      <c r="G444" s="86">
        <f t="shared" si="108"/>
        <v>2659634.4</v>
      </c>
      <c r="H444" s="86">
        <f t="shared" si="108"/>
        <v>1998691.1</v>
      </c>
      <c r="I444" s="86">
        <f t="shared" si="108"/>
        <v>1685674.9999999998</v>
      </c>
      <c r="J444" s="86">
        <f t="shared" si="108"/>
        <v>1573669.5</v>
      </c>
      <c r="K444" s="86">
        <f t="shared" si="108"/>
        <v>1609666.8</v>
      </c>
      <c r="L444" s="86">
        <f t="shared" si="108"/>
        <v>1660001.5</v>
      </c>
      <c r="M444" s="86">
        <f t="shared" si="108"/>
        <v>1930971</v>
      </c>
      <c r="N444" s="86">
        <f t="shared" si="108"/>
        <v>2558839.7000000002</v>
      </c>
      <c r="O444" s="86">
        <f t="shared" si="108"/>
        <v>3622868.6000000006</v>
      </c>
      <c r="P444" s="125">
        <f>SUM(D444:O444)</f>
        <v>32002245.400000002</v>
      </c>
    </row>
    <row r="445" spans="1:19" ht="15.6" x14ac:dyDescent="0.3">
      <c r="A445" s="127">
        <f>A444+1</f>
        <v>20</v>
      </c>
      <c r="B445" s="51" t="s">
        <v>244</v>
      </c>
      <c r="C445" s="129"/>
      <c r="D445" s="121">
        <f t="shared" ref="D445:O445" si="109">D180+D438</f>
        <v>-222734.8</v>
      </c>
      <c r="E445" s="121">
        <f t="shared" si="109"/>
        <v>-220472</v>
      </c>
      <c r="F445" s="121">
        <f t="shared" si="109"/>
        <v>-235076</v>
      </c>
      <c r="G445" s="121">
        <f t="shared" si="109"/>
        <v>-246376</v>
      </c>
      <c r="H445" s="121">
        <f t="shared" si="109"/>
        <v>-262676</v>
      </c>
      <c r="I445" s="121">
        <f t="shared" si="109"/>
        <v>-271676</v>
      </c>
      <c r="J445" s="121">
        <f t="shared" si="109"/>
        <v>-271626</v>
      </c>
      <c r="K445" s="121">
        <f t="shared" si="109"/>
        <v>-271626</v>
      </c>
      <c r="L445" s="121">
        <f t="shared" si="109"/>
        <v>-253626</v>
      </c>
      <c r="M445" s="121">
        <f t="shared" si="109"/>
        <v>-228626</v>
      </c>
      <c r="N445" s="121">
        <f t="shared" si="109"/>
        <v>-224276</v>
      </c>
      <c r="O445" s="121">
        <f t="shared" si="109"/>
        <v>-227012</v>
      </c>
      <c r="P445" s="409">
        <f>SUM(D445:O445)</f>
        <v>-2935802.8</v>
      </c>
      <c r="S445" s="133"/>
    </row>
    <row r="446" spans="1:19" ht="15.6" thickBot="1" x14ac:dyDescent="0.3">
      <c r="A446" s="128">
        <f>A445+1</f>
        <v>21</v>
      </c>
      <c r="B446" s="142" t="s">
        <v>263</v>
      </c>
      <c r="C446" s="143"/>
      <c r="D446" s="144">
        <f t="shared" ref="D446:O446" si="110">SUM(D444:D445)</f>
        <v>4427234.5</v>
      </c>
      <c r="E446" s="144">
        <f t="shared" si="110"/>
        <v>4190117.8</v>
      </c>
      <c r="F446" s="144">
        <f t="shared" si="110"/>
        <v>3406592.7</v>
      </c>
      <c r="G446" s="144">
        <f t="shared" si="110"/>
        <v>2413258.4</v>
      </c>
      <c r="H446" s="144">
        <f t="shared" si="110"/>
        <v>1736015.1</v>
      </c>
      <c r="I446" s="144">
        <f t="shared" si="110"/>
        <v>1413998.9999999998</v>
      </c>
      <c r="J446" s="144">
        <f t="shared" si="110"/>
        <v>1302043.5</v>
      </c>
      <c r="K446" s="144">
        <f t="shared" si="110"/>
        <v>1338040.8</v>
      </c>
      <c r="L446" s="144">
        <f t="shared" si="110"/>
        <v>1406375.5</v>
      </c>
      <c r="M446" s="144">
        <f t="shared" si="110"/>
        <v>1702345</v>
      </c>
      <c r="N446" s="144">
        <f t="shared" si="110"/>
        <v>2334563.7000000002</v>
      </c>
      <c r="O446" s="144">
        <f t="shared" si="110"/>
        <v>3395856.6000000006</v>
      </c>
      <c r="P446" s="348">
        <f>SUM(D446:O446)</f>
        <v>29066442.600000001</v>
      </c>
    </row>
    <row r="447" spans="1:19" x14ac:dyDescent="0.25">
      <c r="A447" s="92"/>
      <c r="B447" s="51"/>
      <c r="C447" s="141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</row>
    <row r="448" spans="1:19" x14ac:dyDescent="0.25">
      <c r="A448" s="92"/>
      <c r="B448" s="51"/>
      <c r="C448" s="141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</row>
    <row r="449" spans="1:94" s="51" customFormat="1" ht="15.6" x14ac:dyDescent="0.3">
      <c r="A449" s="92"/>
      <c r="C449" s="106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</row>
    <row r="450" spans="1:94" s="51" customFormat="1" ht="15.6" x14ac:dyDescent="0.3">
      <c r="A450" s="92"/>
      <c r="C450" s="106"/>
      <c r="D450" s="70"/>
      <c r="E450" s="70"/>
      <c r="F450" s="70"/>
      <c r="G450" s="70"/>
      <c r="H450" s="70"/>
      <c r="I450" s="70"/>
      <c r="J450" s="70"/>
      <c r="K450" s="94"/>
      <c r="L450" s="94"/>
      <c r="M450" s="94"/>
      <c r="N450" s="94"/>
      <c r="O450" s="94"/>
      <c r="P450" s="52"/>
    </row>
    <row r="451" spans="1:94" s="62" customFormat="1" ht="15.6" thickBot="1" x14ac:dyDescent="0.3">
      <c r="A451" s="7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  <c r="AW451" s="94"/>
      <c r="AX451" s="94"/>
      <c r="AY451" s="94"/>
      <c r="AZ451" s="94"/>
      <c r="BA451" s="94"/>
      <c r="BB451" s="94"/>
      <c r="BC451" s="94"/>
      <c r="BD451" s="94"/>
      <c r="BE451" s="94"/>
      <c r="BF451" s="94"/>
      <c r="BG451" s="94"/>
      <c r="BH451" s="94"/>
      <c r="BI451" s="94"/>
      <c r="BJ451" s="94"/>
      <c r="BK451" s="94"/>
      <c r="BL451" s="94"/>
      <c r="BM451" s="94"/>
      <c r="BN451" s="94"/>
      <c r="BO451" s="94"/>
      <c r="BP451" s="94"/>
      <c r="BQ451" s="94"/>
      <c r="BR451" s="94"/>
      <c r="BS451" s="94"/>
      <c r="BT451" s="94"/>
      <c r="BU451" s="94"/>
      <c r="BV451" s="94"/>
      <c r="BW451" s="94"/>
      <c r="BX451" s="94"/>
      <c r="BY451" s="94"/>
      <c r="BZ451" s="94"/>
      <c r="CA451" s="94"/>
      <c r="CB451" s="94"/>
      <c r="CC451" s="94"/>
      <c r="CD451" s="94"/>
      <c r="CE451" s="94"/>
      <c r="CF451" s="94"/>
      <c r="CG451" s="94"/>
      <c r="CH451" s="94"/>
      <c r="CI451" s="94"/>
      <c r="CJ451" s="94"/>
      <c r="CK451" s="94"/>
      <c r="CL451" s="94"/>
      <c r="CM451" s="94"/>
      <c r="CN451" s="94"/>
      <c r="CO451" s="94"/>
      <c r="CP451" s="94"/>
    </row>
    <row r="452" spans="1:94" s="62" customFormat="1" ht="15.6" x14ac:dyDescent="0.3">
      <c r="A452" s="74"/>
      <c r="B452" s="313" t="s">
        <v>463</v>
      </c>
      <c r="C452" s="314"/>
      <c r="D452" s="314"/>
      <c r="E452" s="315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94"/>
      <c r="BC452" s="94"/>
      <c r="BD452" s="94"/>
      <c r="BE452" s="94"/>
      <c r="BF452" s="94"/>
      <c r="BG452" s="94"/>
      <c r="BH452" s="94"/>
      <c r="BI452" s="94"/>
      <c r="BJ452" s="94"/>
      <c r="BK452" s="94"/>
      <c r="BL452" s="94"/>
      <c r="BM452" s="94"/>
      <c r="BN452" s="94"/>
      <c r="BO452" s="94"/>
      <c r="BP452" s="94"/>
      <c r="BQ452" s="94"/>
      <c r="BR452" s="94"/>
      <c r="BS452" s="94"/>
      <c r="BT452" s="94"/>
      <c r="BU452" s="94"/>
      <c r="BV452" s="94"/>
      <c r="BW452" s="94"/>
      <c r="BX452" s="94"/>
      <c r="BY452" s="94"/>
      <c r="BZ452" s="94"/>
      <c r="CA452" s="94"/>
      <c r="CB452" s="94"/>
      <c r="CC452" s="94"/>
      <c r="CD452" s="94"/>
      <c r="CE452" s="94"/>
      <c r="CF452" s="94"/>
      <c r="CG452" s="94"/>
      <c r="CH452" s="94"/>
      <c r="CI452" s="94"/>
      <c r="CJ452" s="94"/>
      <c r="CK452" s="94"/>
      <c r="CL452" s="94"/>
      <c r="CM452" s="94"/>
      <c r="CN452" s="94"/>
      <c r="CO452" s="94"/>
      <c r="CP452" s="94"/>
    </row>
    <row r="453" spans="1:94" s="62" customFormat="1" ht="15.6" x14ac:dyDescent="0.3">
      <c r="A453" s="74"/>
      <c r="B453" s="316"/>
      <c r="C453" s="317" t="s">
        <v>464</v>
      </c>
      <c r="D453" s="317" t="s">
        <v>465</v>
      </c>
      <c r="E453" s="318" t="s">
        <v>466</v>
      </c>
      <c r="F453" s="170"/>
      <c r="G453" s="170"/>
      <c r="H453" s="170"/>
      <c r="I453" s="170"/>
      <c r="J453" s="170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94"/>
      <c r="BC453" s="94"/>
      <c r="BD453" s="94"/>
      <c r="BE453" s="94"/>
      <c r="BF453" s="94"/>
      <c r="BG453" s="94"/>
      <c r="BH453" s="94"/>
      <c r="BI453" s="94"/>
      <c r="BJ453" s="94"/>
      <c r="BK453" s="94"/>
      <c r="BL453" s="94"/>
      <c r="BM453" s="94"/>
      <c r="BN453" s="94"/>
      <c r="BO453" s="94"/>
      <c r="BP453" s="94"/>
      <c r="BQ453" s="94"/>
      <c r="BR453" s="94"/>
      <c r="BS453" s="94"/>
      <c r="BT453" s="94"/>
      <c r="BU453" s="94"/>
      <c r="BV453" s="94"/>
      <c r="BW453" s="94"/>
      <c r="BX453" s="94"/>
      <c r="BY453" s="94"/>
      <c r="BZ453" s="94"/>
      <c r="CA453" s="94"/>
      <c r="CB453" s="94"/>
      <c r="CC453" s="94"/>
      <c r="CD453" s="94"/>
      <c r="CE453" s="94"/>
      <c r="CF453" s="94"/>
      <c r="CG453" s="94"/>
      <c r="CH453" s="94"/>
      <c r="CI453" s="94"/>
      <c r="CJ453" s="94"/>
      <c r="CK453" s="94"/>
      <c r="CL453" s="94"/>
      <c r="CM453" s="94"/>
      <c r="CN453" s="94"/>
      <c r="CO453" s="94"/>
      <c r="CP453" s="94"/>
    </row>
    <row r="454" spans="1:94" s="62" customFormat="1" x14ac:dyDescent="0.25">
      <c r="A454" s="74"/>
      <c r="B454" s="319" t="s">
        <v>467</v>
      </c>
      <c r="C454" s="347">
        <f>P15+P25+P30+P35+P40+P45+P71+P74</f>
        <v>6253000.1000000006</v>
      </c>
      <c r="D454" s="338">
        <v>6253000.0999999996</v>
      </c>
      <c r="E454" s="339">
        <f>C454-D454</f>
        <v>0</v>
      </c>
      <c r="F454" s="94"/>
      <c r="G454" s="94"/>
      <c r="H454" s="94"/>
      <c r="I454" s="94"/>
      <c r="J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  <c r="AZ454" s="94"/>
      <c r="BA454" s="94"/>
      <c r="BB454" s="94"/>
      <c r="BC454" s="94"/>
      <c r="BD454" s="94"/>
      <c r="BE454" s="94"/>
      <c r="BF454" s="94"/>
      <c r="BG454" s="94"/>
      <c r="BH454" s="94"/>
      <c r="BI454" s="94"/>
      <c r="BJ454" s="94"/>
      <c r="BK454" s="94"/>
      <c r="BL454" s="94"/>
      <c r="BM454" s="94"/>
      <c r="BN454" s="94"/>
      <c r="BO454" s="94"/>
      <c r="BP454" s="94"/>
      <c r="BQ454" s="94"/>
      <c r="BR454" s="94"/>
      <c r="BS454" s="94"/>
      <c r="BT454" s="94"/>
      <c r="BU454" s="94"/>
      <c r="BV454" s="94"/>
      <c r="BW454" s="94"/>
      <c r="BX454" s="94"/>
      <c r="BY454" s="94"/>
      <c r="BZ454" s="94"/>
      <c r="CA454" s="94"/>
      <c r="CB454" s="94"/>
      <c r="CC454" s="94"/>
      <c r="CD454" s="94"/>
      <c r="CE454" s="94"/>
      <c r="CF454" s="94"/>
      <c r="CG454" s="94"/>
      <c r="CH454" s="94"/>
      <c r="CI454" s="94"/>
      <c r="CJ454" s="94"/>
      <c r="CK454" s="94"/>
      <c r="CL454" s="94"/>
      <c r="CM454" s="94"/>
      <c r="CN454" s="94"/>
      <c r="CO454" s="94"/>
      <c r="CP454" s="94"/>
    </row>
    <row r="455" spans="1:94" s="62" customFormat="1" x14ac:dyDescent="0.25">
      <c r="A455" s="74"/>
      <c r="B455" s="320" t="s">
        <v>468</v>
      </c>
      <c r="C455" s="340">
        <f>P185</f>
        <v>1707000</v>
      </c>
      <c r="D455" s="338">
        <v>1707000</v>
      </c>
      <c r="E455" s="339">
        <f t="shared" ref="E455" si="111">C455-D455</f>
        <v>0</v>
      </c>
      <c r="F455" s="215"/>
      <c r="G455" s="215"/>
      <c r="H455" s="94"/>
      <c r="I455" s="94"/>
      <c r="J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  <c r="BT455" s="94"/>
      <c r="BU455" s="94"/>
      <c r="BV455" s="94"/>
      <c r="BW455" s="94"/>
      <c r="BX455" s="94"/>
      <c r="BY455" s="94"/>
      <c r="BZ455" s="94"/>
      <c r="CA455" s="94"/>
      <c r="CB455" s="94"/>
      <c r="CC455" s="94"/>
      <c r="CD455" s="94"/>
      <c r="CE455" s="94"/>
      <c r="CF455" s="94"/>
      <c r="CG455" s="94"/>
      <c r="CH455" s="94"/>
      <c r="CI455" s="94"/>
      <c r="CJ455" s="94"/>
      <c r="CK455" s="94"/>
      <c r="CL455" s="94"/>
      <c r="CM455" s="94"/>
      <c r="CN455" s="94"/>
      <c r="CO455" s="94"/>
      <c r="CP455" s="94"/>
    </row>
    <row r="456" spans="1:94" x14ac:dyDescent="0.25">
      <c r="B456" s="320" t="s">
        <v>469</v>
      </c>
      <c r="C456" s="341" t="e">
        <f>P20+#REF!+P50++P84+P117+P136+P141</f>
        <v>#REF!</v>
      </c>
      <c r="D456" s="338">
        <v>3244013.8</v>
      </c>
      <c r="E456" s="339" t="e">
        <f>C456-D456</f>
        <v>#REF!</v>
      </c>
      <c r="F456" s="215"/>
      <c r="G456" s="215"/>
      <c r="H456" s="94"/>
      <c r="I456" s="94"/>
      <c r="J456" s="94"/>
      <c r="P456" s="62"/>
    </row>
    <row r="457" spans="1:94" x14ac:dyDescent="0.25">
      <c r="B457" s="320" t="s">
        <v>470</v>
      </c>
      <c r="C457" s="347">
        <f>P195+P228</f>
        <v>1931990.7000000002</v>
      </c>
      <c r="D457" s="338">
        <v>1931990.7</v>
      </c>
      <c r="E457" s="339">
        <f t="shared" ref="E457:E458" si="112">C457-D457</f>
        <v>0</v>
      </c>
      <c r="F457" s="215"/>
      <c r="G457" s="215"/>
      <c r="H457" s="94"/>
      <c r="I457" s="94"/>
      <c r="J457" s="94"/>
      <c r="P457" s="62"/>
    </row>
    <row r="458" spans="1:94" ht="16.8" x14ac:dyDescent="0.4">
      <c r="B458" s="320" t="s">
        <v>309</v>
      </c>
      <c r="C458" s="342">
        <f>P247+P264+P295+P315+P330+P335+P353+P358+P366+P381+P397</f>
        <v>18866240.800000001</v>
      </c>
      <c r="D458" s="343">
        <v>18856999.800000001</v>
      </c>
      <c r="E458" s="344">
        <f t="shared" si="112"/>
        <v>9241</v>
      </c>
      <c r="F458" s="215"/>
      <c r="G458" s="215"/>
      <c r="H458" s="94"/>
      <c r="I458" s="94"/>
      <c r="J458" s="94"/>
      <c r="P458" s="62"/>
    </row>
    <row r="459" spans="1:94" ht="15.6" thickBot="1" x14ac:dyDescent="0.3">
      <c r="B459" s="321"/>
      <c r="C459" s="345" t="e">
        <f>SUM(C454:C458)</f>
        <v>#REF!</v>
      </c>
      <c r="D459" s="345">
        <f>SUM(D454:D458)</f>
        <v>31993004.399999999</v>
      </c>
      <c r="E459" s="346" t="e">
        <f>SUM(E454:E458)</f>
        <v>#REF!</v>
      </c>
      <c r="F459" s="94"/>
      <c r="G459" s="94"/>
      <c r="H459" s="94"/>
      <c r="I459" s="94"/>
      <c r="J459" s="94"/>
      <c r="P459" s="62"/>
    </row>
    <row r="460" spans="1:94" x14ac:dyDescent="0.25">
      <c r="B460" s="94"/>
      <c r="C460" s="94"/>
      <c r="D460" s="94"/>
      <c r="E460" s="94"/>
      <c r="F460" s="94"/>
      <c r="G460" s="94"/>
      <c r="H460" s="70"/>
      <c r="I460" s="70"/>
      <c r="J460" s="94"/>
      <c r="P460" s="62"/>
    </row>
    <row r="461" spans="1:94" x14ac:dyDescent="0.25">
      <c r="B461" s="94"/>
      <c r="C461" s="94"/>
      <c r="D461" s="94"/>
      <c r="E461" s="94"/>
      <c r="F461" s="94"/>
      <c r="G461" s="94"/>
      <c r="H461" s="94"/>
      <c r="I461" s="94"/>
      <c r="J461" s="94"/>
      <c r="P461" s="62"/>
    </row>
    <row r="462" spans="1:94" x14ac:dyDescent="0.25">
      <c r="B462" s="94"/>
      <c r="C462" s="94"/>
      <c r="D462" s="94"/>
      <c r="E462" s="94"/>
      <c r="F462" s="94"/>
      <c r="G462" s="94"/>
      <c r="H462" s="150"/>
      <c r="I462" s="94"/>
      <c r="J462" s="94"/>
      <c r="P462" s="62"/>
    </row>
  </sheetData>
  <mergeCells count="24">
    <mergeCell ref="A3:P3"/>
    <mergeCell ref="A2:P2"/>
    <mergeCell ref="A1:P1"/>
    <mergeCell ref="A56:P56"/>
    <mergeCell ref="A55:P55"/>
    <mergeCell ref="A54:P54"/>
    <mergeCell ref="A99:P99"/>
    <mergeCell ref="A98:P98"/>
    <mergeCell ref="A211:P211"/>
    <mergeCell ref="A145:P145"/>
    <mergeCell ref="A144:P144"/>
    <mergeCell ref="A143:P143"/>
    <mergeCell ref="A339:P339"/>
    <mergeCell ref="A210:P210"/>
    <mergeCell ref="A209:P209"/>
    <mergeCell ref="A100:P100"/>
    <mergeCell ref="A276:P276"/>
    <mergeCell ref="A277:P277"/>
    <mergeCell ref="A278:P278"/>
    <mergeCell ref="A409:P409"/>
    <mergeCell ref="A408:P408"/>
    <mergeCell ref="A407:P407"/>
    <mergeCell ref="A341:P341"/>
    <mergeCell ref="A340:P340"/>
  </mergeCells>
  <phoneticPr fontId="0" type="noConversion"/>
  <printOptions horizontalCentered="1"/>
  <pageMargins left="1" right="1" top="1" bottom="1" header="0.5" footer="0.5"/>
  <pageSetup scale="42" orientation="landscape" r:id="rId1"/>
  <headerFooter alignWithMargins="0">
    <oddHeader>&amp;RKY PSC Case No. 2016-0016
Attachment A to PSC 3-3(b)</oddHeader>
  </headerFooter>
  <rowBreaks count="7" manualBreakCount="7">
    <brk id="53" max="15" man="1"/>
    <brk id="97" max="15" man="1"/>
    <brk id="142" max="15" man="1"/>
    <brk id="208" max="15" man="1"/>
    <brk id="275" max="15" man="1"/>
    <brk id="338" max="15" man="1"/>
    <brk id="40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">
    <pageSetUpPr fitToPage="1"/>
  </sheetPr>
  <dimension ref="A1:Q230"/>
  <sheetViews>
    <sheetView topLeftCell="A31" zoomScale="70" zoomScaleNormal="70" zoomScaleSheetLayoutView="70" workbookViewId="0">
      <selection activeCell="D59" sqref="D59"/>
    </sheetView>
  </sheetViews>
  <sheetFormatPr defaultColWidth="10" defaultRowHeight="15" x14ac:dyDescent="0.25"/>
  <cols>
    <col min="1" max="1" width="8.83203125" style="88" customWidth="1"/>
    <col min="2" max="2" width="55" style="44" customWidth="1"/>
    <col min="3" max="3" width="18.6640625" style="62" customWidth="1"/>
    <col min="4" max="15" width="19.33203125" style="62" bestFit="1" customWidth="1"/>
    <col min="16" max="16" width="26.6640625" style="62" customWidth="1"/>
    <col min="17" max="16384" width="10" style="44"/>
  </cols>
  <sheetData>
    <row r="1" spans="1:17" ht="15.6" x14ac:dyDescent="0.3">
      <c r="A1" s="987" t="str">
        <f>CONAME</f>
        <v>Columbia Gas of Kentucky, Inc.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</row>
    <row r="2" spans="1:17" ht="15.6" x14ac:dyDescent="0.3">
      <c r="A2" s="987" t="s">
        <v>198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</row>
    <row r="3" spans="1:17" ht="15.6" x14ac:dyDescent="0.3">
      <c r="A3" s="987" t="str">
        <f>TYDESC</f>
        <v>For the 12 Months Ended December 31, 2017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</row>
    <row r="5" spans="1:17" ht="15.6" x14ac:dyDescent="0.3">
      <c r="A5" s="97" t="s">
        <v>342</v>
      </c>
    </row>
    <row r="6" spans="1:17" ht="15.6" x14ac:dyDescent="0.3">
      <c r="A6" s="97" t="s">
        <v>223</v>
      </c>
    </row>
    <row r="7" spans="1:17" ht="15.6" x14ac:dyDescent="0.3">
      <c r="A7" s="98" t="s">
        <v>63</v>
      </c>
      <c r="P7" s="148" t="s">
        <v>362</v>
      </c>
    </row>
    <row r="8" spans="1:17" ht="15.6" x14ac:dyDescent="0.3">
      <c r="A8" s="99" t="s">
        <v>302</v>
      </c>
      <c r="H8" s="109"/>
      <c r="P8" s="149" t="s">
        <v>491</v>
      </c>
    </row>
    <row r="9" spans="1:17" ht="15.6" x14ac:dyDescent="0.3">
      <c r="A9" s="99"/>
      <c r="H9" s="109"/>
    </row>
    <row r="10" spans="1:17" ht="15.6" x14ac:dyDescent="0.3">
      <c r="A10" s="45" t="s">
        <v>1</v>
      </c>
      <c r="B10" s="45"/>
      <c r="C10" s="75"/>
      <c r="D10" s="166"/>
      <c r="E10" s="167"/>
      <c r="F10" s="166"/>
      <c r="G10" s="168"/>
      <c r="H10" s="166"/>
      <c r="I10" s="166"/>
      <c r="J10" s="166"/>
      <c r="K10" s="166"/>
      <c r="L10" s="166"/>
      <c r="M10" s="166"/>
      <c r="N10" s="78"/>
      <c r="O10" s="78"/>
      <c r="P10" s="78"/>
    </row>
    <row r="11" spans="1:17" ht="15.6" x14ac:dyDescent="0.3">
      <c r="A11" s="55" t="s">
        <v>3</v>
      </c>
      <c r="B11" s="55" t="s">
        <v>4</v>
      </c>
      <c r="C11" s="77" t="s">
        <v>186</v>
      </c>
      <c r="D11" s="159" t="str">
        <f>B!$D$11</f>
        <v>Jan-17</v>
      </c>
      <c r="E11" s="159" t="str">
        <f>B!$E$11</f>
        <v>Feb-17</v>
      </c>
      <c r="F11" s="159" t="str">
        <f>B!$F$11</f>
        <v>Mar-17</v>
      </c>
      <c r="G11" s="159" t="str">
        <f>B!$G$11</f>
        <v>Apr-17</v>
      </c>
      <c r="H11" s="159" t="str">
        <f>B!$H$11</f>
        <v>May-17</v>
      </c>
      <c r="I11" s="159" t="str">
        <f>B!$I$11</f>
        <v>Jun-17</v>
      </c>
      <c r="J11" s="159" t="str">
        <f>B!$J$11</f>
        <v>Jul-17</v>
      </c>
      <c r="K11" s="159" t="str">
        <f>B!$K$11</f>
        <v>Aug-17</v>
      </c>
      <c r="L11" s="159" t="str">
        <f>B!$L$11</f>
        <v>Sep-17</v>
      </c>
      <c r="M11" s="159" t="str">
        <f>B!$M$11</f>
        <v>Oct-17</v>
      </c>
      <c r="N11" s="159" t="str">
        <f>B!$N$11</f>
        <v>Nov-17</v>
      </c>
      <c r="O11" s="159" t="str">
        <f>B!$O$11</f>
        <v>Dec-17</v>
      </c>
      <c r="P11" s="159" t="s">
        <v>9</v>
      </c>
      <c r="Q11" s="57"/>
    </row>
    <row r="12" spans="1:17" ht="15.6" x14ac:dyDescent="0.3">
      <c r="A12" s="45"/>
      <c r="B12" s="46" t="s">
        <v>42</v>
      </c>
      <c r="C12" s="78" t="s">
        <v>43</v>
      </c>
      <c r="D12" s="162" t="s">
        <v>45</v>
      </c>
      <c r="E12" s="162" t="s">
        <v>46</v>
      </c>
      <c r="F12" s="162" t="s">
        <v>49</v>
      </c>
      <c r="G12" s="162" t="s">
        <v>50</v>
      </c>
      <c r="H12" s="162" t="s">
        <v>51</v>
      </c>
      <c r="I12" s="162" t="s">
        <v>52</v>
      </c>
      <c r="J12" s="162" t="s">
        <v>53</v>
      </c>
      <c r="K12" s="160" t="s">
        <v>54</v>
      </c>
      <c r="L12" s="160" t="s">
        <v>55</v>
      </c>
      <c r="M12" s="160" t="s">
        <v>56</v>
      </c>
      <c r="N12" s="160" t="s">
        <v>57</v>
      </c>
      <c r="O12" s="160" t="s">
        <v>58</v>
      </c>
      <c r="P12" s="160" t="s">
        <v>59</v>
      </c>
      <c r="Q12" s="46"/>
    </row>
    <row r="13" spans="1:17" x14ac:dyDescent="0.25">
      <c r="H13" s="109"/>
    </row>
    <row r="14" spans="1:17" ht="15.6" x14ac:dyDescent="0.3">
      <c r="A14" s="120">
        <v>1</v>
      </c>
      <c r="B14" s="47" t="s">
        <v>371</v>
      </c>
      <c r="C14" s="74"/>
      <c r="H14" s="109"/>
    </row>
    <row r="15" spans="1:17" ht="15.6" x14ac:dyDescent="0.3">
      <c r="A15" s="120"/>
      <c r="B15" s="47"/>
      <c r="C15" s="74"/>
      <c r="H15" s="109"/>
    </row>
    <row r="16" spans="1:17" x14ac:dyDescent="0.25">
      <c r="A16" s="120">
        <f>A14+1</f>
        <v>2</v>
      </c>
      <c r="B16" s="44" t="s">
        <v>254</v>
      </c>
      <c r="C16" s="107"/>
      <c r="D16" s="161">
        <v>-1</v>
      </c>
      <c r="E16" s="161">
        <v>-1</v>
      </c>
      <c r="F16" s="161">
        <v>-1</v>
      </c>
      <c r="G16" s="161">
        <v>-1</v>
      </c>
      <c r="H16" s="161">
        <v>-1</v>
      </c>
      <c r="I16" s="161">
        <v>-1</v>
      </c>
      <c r="J16" s="161">
        <v>-1</v>
      </c>
      <c r="K16" s="161">
        <v>-1</v>
      </c>
      <c r="L16" s="161">
        <v>-1</v>
      </c>
      <c r="M16" s="161">
        <v>-1</v>
      </c>
      <c r="N16" s="161">
        <v>-1</v>
      </c>
      <c r="O16" s="161">
        <v>-1</v>
      </c>
      <c r="P16" s="60">
        <f t="shared" ref="P16:P21" si="0">SUM(D16:O16)</f>
        <v>-12</v>
      </c>
    </row>
    <row r="17" spans="1:16" x14ac:dyDescent="0.25">
      <c r="A17" s="120">
        <f t="shared" ref="A17:A22" si="1">A16+1</f>
        <v>3</v>
      </c>
      <c r="B17" s="44" t="s">
        <v>264</v>
      </c>
      <c r="C17" s="107"/>
      <c r="D17" s="161">
        <v>2</v>
      </c>
      <c r="E17" s="161">
        <v>2</v>
      </c>
      <c r="F17" s="161">
        <v>2</v>
      </c>
      <c r="G17" s="161">
        <v>2</v>
      </c>
      <c r="H17" s="161">
        <v>2</v>
      </c>
      <c r="I17" s="161">
        <v>2</v>
      </c>
      <c r="J17" s="161">
        <v>3</v>
      </c>
      <c r="K17" s="161">
        <v>3</v>
      </c>
      <c r="L17" s="161">
        <v>3</v>
      </c>
      <c r="M17" s="161">
        <v>3</v>
      </c>
      <c r="N17" s="161">
        <v>3</v>
      </c>
      <c r="O17" s="161">
        <v>3</v>
      </c>
      <c r="P17" s="60">
        <f t="shared" si="0"/>
        <v>30</v>
      </c>
    </row>
    <row r="18" spans="1:16" x14ac:dyDescent="0.25">
      <c r="A18" s="120">
        <f t="shared" si="1"/>
        <v>4</v>
      </c>
      <c r="B18" s="44" t="s">
        <v>270</v>
      </c>
      <c r="C18" s="107"/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60">
        <f t="shared" si="0"/>
        <v>0</v>
      </c>
    </row>
    <row r="19" spans="1:16" x14ac:dyDescent="0.25">
      <c r="A19" s="120">
        <f t="shared" si="1"/>
        <v>5</v>
      </c>
      <c r="B19" s="44" t="s">
        <v>261</v>
      </c>
      <c r="C19" s="107"/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60">
        <f t="shared" si="0"/>
        <v>0</v>
      </c>
    </row>
    <row r="20" spans="1:16" x14ac:dyDescent="0.25">
      <c r="A20" s="120">
        <f t="shared" si="1"/>
        <v>6</v>
      </c>
      <c r="B20" s="44" t="s">
        <v>262</v>
      </c>
      <c r="C20" s="107"/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60">
        <f t="shared" si="0"/>
        <v>0</v>
      </c>
    </row>
    <row r="21" spans="1:16" x14ac:dyDescent="0.25">
      <c r="A21" s="120">
        <f t="shared" si="1"/>
        <v>7</v>
      </c>
      <c r="B21" s="44" t="s">
        <v>278</v>
      </c>
      <c r="C21" s="107"/>
      <c r="D21" s="351">
        <v>0</v>
      </c>
      <c r="E21" s="351">
        <v>0</v>
      </c>
      <c r="F21" s="351">
        <v>0</v>
      </c>
      <c r="G21" s="351">
        <v>0</v>
      </c>
      <c r="H21" s="351">
        <v>0</v>
      </c>
      <c r="I21" s="351">
        <v>0</v>
      </c>
      <c r="J21" s="351">
        <v>0</v>
      </c>
      <c r="K21" s="351">
        <v>0</v>
      </c>
      <c r="L21" s="351">
        <v>0</v>
      </c>
      <c r="M21" s="351">
        <v>0</v>
      </c>
      <c r="N21" s="351">
        <v>0</v>
      </c>
      <c r="O21" s="351">
        <v>0</v>
      </c>
      <c r="P21" s="210">
        <f t="shared" si="0"/>
        <v>0</v>
      </c>
    </row>
    <row r="22" spans="1:16" x14ac:dyDescent="0.25">
      <c r="A22" s="108">
        <f t="shared" si="1"/>
        <v>8</v>
      </c>
      <c r="B22" s="105" t="s">
        <v>259</v>
      </c>
      <c r="C22" s="131"/>
      <c r="D22" s="151">
        <f t="shared" ref="D22:P22" si="2">SUM(D16:D21)</f>
        <v>1</v>
      </c>
      <c r="E22" s="151">
        <f t="shared" si="2"/>
        <v>1</v>
      </c>
      <c r="F22" s="151">
        <f t="shared" si="2"/>
        <v>1</v>
      </c>
      <c r="G22" s="151">
        <f t="shared" si="2"/>
        <v>1</v>
      </c>
      <c r="H22" s="151">
        <f t="shared" si="2"/>
        <v>1</v>
      </c>
      <c r="I22" s="151">
        <f t="shared" si="2"/>
        <v>1</v>
      </c>
      <c r="J22" s="151">
        <f t="shared" si="2"/>
        <v>2</v>
      </c>
      <c r="K22" s="151">
        <f t="shared" si="2"/>
        <v>2</v>
      </c>
      <c r="L22" s="151">
        <f t="shared" si="2"/>
        <v>2</v>
      </c>
      <c r="M22" s="151">
        <f t="shared" si="2"/>
        <v>2</v>
      </c>
      <c r="N22" s="151">
        <f t="shared" si="2"/>
        <v>2</v>
      </c>
      <c r="O22" s="151">
        <f t="shared" si="2"/>
        <v>2</v>
      </c>
      <c r="P22" s="151">
        <f t="shared" si="2"/>
        <v>18</v>
      </c>
    </row>
    <row r="23" spans="1:16" x14ac:dyDescent="0.25">
      <c r="A23" s="92"/>
      <c r="B23" s="51"/>
      <c r="C23" s="94"/>
      <c r="D23" s="94"/>
      <c r="E23" s="94"/>
      <c r="F23" s="94"/>
      <c r="G23" s="94"/>
      <c r="H23" s="322"/>
      <c r="I23" s="94"/>
      <c r="J23" s="94"/>
      <c r="K23" s="94"/>
      <c r="L23" s="94"/>
      <c r="M23" s="94"/>
      <c r="N23" s="94"/>
      <c r="O23" s="94"/>
      <c r="P23" s="94"/>
    </row>
    <row r="24" spans="1:16" ht="15.6" x14ac:dyDescent="0.3">
      <c r="A24" s="92">
        <f>A22+1</f>
        <v>9</v>
      </c>
      <c r="B24" s="50" t="s">
        <v>286</v>
      </c>
      <c r="C24" s="94"/>
      <c r="D24" s="153">
        <f t="shared" ref="D24:P24" si="3">D22</f>
        <v>1</v>
      </c>
      <c r="E24" s="153">
        <f t="shared" si="3"/>
        <v>1</v>
      </c>
      <c r="F24" s="153">
        <f t="shared" si="3"/>
        <v>1</v>
      </c>
      <c r="G24" s="153">
        <f t="shared" si="3"/>
        <v>1</v>
      </c>
      <c r="H24" s="153">
        <f t="shared" si="3"/>
        <v>1</v>
      </c>
      <c r="I24" s="153">
        <f t="shared" si="3"/>
        <v>1</v>
      </c>
      <c r="J24" s="153">
        <f t="shared" si="3"/>
        <v>2</v>
      </c>
      <c r="K24" s="153">
        <f t="shared" si="3"/>
        <v>2</v>
      </c>
      <c r="L24" s="153">
        <f t="shared" si="3"/>
        <v>2</v>
      </c>
      <c r="M24" s="153">
        <f t="shared" si="3"/>
        <v>2</v>
      </c>
      <c r="N24" s="153">
        <f t="shared" si="3"/>
        <v>2</v>
      </c>
      <c r="O24" s="153">
        <f t="shared" si="3"/>
        <v>2</v>
      </c>
      <c r="P24" s="153">
        <f t="shared" si="3"/>
        <v>18</v>
      </c>
    </row>
    <row r="25" spans="1:16" x14ac:dyDescent="0.25">
      <c r="A25" s="92"/>
      <c r="B25" s="51"/>
      <c r="C25" s="94"/>
      <c r="D25" s="94"/>
      <c r="E25" s="94"/>
      <c r="F25" s="94"/>
      <c r="G25" s="94"/>
      <c r="H25" s="322"/>
      <c r="I25" s="94"/>
      <c r="J25" s="94"/>
      <c r="K25" s="94"/>
      <c r="L25" s="94"/>
      <c r="M25" s="94"/>
      <c r="N25" s="94"/>
      <c r="O25" s="94"/>
      <c r="P25" s="94"/>
    </row>
    <row r="26" spans="1:16" ht="15.6" x14ac:dyDescent="0.3">
      <c r="A26" s="88">
        <f>A24+1</f>
        <v>10</v>
      </c>
      <c r="B26" s="47" t="s">
        <v>372</v>
      </c>
      <c r="P26" s="149"/>
    </row>
    <row r="27" spans="1:16" ht="15.6" x14ac:dyDescent="0.3">
      <c r="P27" s="149"/>
    </row>
    <row r="28" spans="1:16" ht="15.6" x14ac:dyDescent="0.3">
      <c r="A28" s="120">
        <f>A26+1</f>
        <v>11</v>
      </c>
      <c r="B28" s="47" t="s">
        <v>254</v>
      </c>
      <c r="C28" s="107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61"/>
    </row>
    <row r="29" spans="1:16" x14ac:dyDescent="0.25">
      <c r="A29" s="120">
        <f>A28+1</f>
        <v>12</v>
      </c>
      <c r="B29" s="44" t="str">
        <f>'C'!B80</f>
        <v xml:space="preserve">    First 50 Mcf</v>
      </c>
      <c r="C29" s="107"/>
      <c r="D29" s="61">
        <f>'D pg 2'!F43</f>
        <v>-50</v>
      </c>
      <c r="E29" s="61">
        <f>'D pg 2'!G43</f>
        <v>-50</v>
      </c>
      <c r="F29" s="61">
        <f>'D pg 2'!H43</f>
        <v>-50</v>
      </c>
      <c r="G29" s="61">
        <f>'D pg 2'!I43</f>
        <v>-50</v>
      </c>
      <c r="H29" s="61">
        <f>'D pg 2'!J43</f>
        <v>-50</v>
      </c>
      <c r="I29" s="61">
        <f>'D pg 2'!K43</f>
        <v>-50</v>
      </c>
      <c r="J29" s="61">
        <f>'D pg 2'!L43</f>
        <v>0</v>
      </c>
      <c r="K29" s="61">
        <f>'D pg 2'!M43</f>
        <v>0</v>
      </c>
      <c r="L29" s="61">
        <f>'D pg 2'!N43</f>
        <v>0</v>
      </c>
      <c r="M29" s="61">
        <f>'D pg 2'!O43</f>
        <v>-50</v>
      </c>
      <c r="N29" s="61">
        <f>'D pg 2'!P43</f>
        <v>-50</v>
      </c>
      <c r="O29" s="61">
        <f>'D pg 2'!Q43</f>
        <v>-50</v>
      </c>
      <c r="P29" s="61">
        <f>SUM(D29:O29)</f>
        <v>-450</v>
      </c>
    </row>
    <row r="30" spans="1:16" x14ac:dyDescent="0.25">
      <c r="A30" s="120">
        <f>A29+1</f>
        <v>13</v>
      </c>
      <c r="B30" s="44" t="str">
        <f>'C'!B81</f>
        <v xml:space="preserve">    Next 350 Mcf</v>
      </c>
      <c r="C30" s="107"/>
      <c r="D30" s="61">
        <f>'D pg 2'!F44</f>
        <v>-350</v>
      </c>
      <c r="E30" s="61">
        <f>'D pg 2'!G44</f>
        <v>-350</v>
      </c>
      <c r="F30" s="61">
        <f>'D pg 2'!H44</f>
        <v>-350</v>
      </c>
      <c r="G30" s="61">
        <f>'D pg 2'!I44</f>
        <v>-350</v>
      </c>
      <c r="H30" s="61">
        <f>'D pg 2'!J44</f>
        <v>-50</v>
      </c>
      <c r="I30" s="61">
        <f>'D pg 2'!K44</f>
        <v>0</v>
      </c>
      <c r="J30" s="61">
        <f>'D pg 2'!L44</f>
        <v>0</v>
      </c>
      <c r="K30" s="61">
        <f>'D pg 2'!M44</f>
        <v>0</v>
      </c>
      <c r="L30" s="61">
        <f>'D pg 2'!N44</f>
        <v>0</v>
      </c>
      <c r="M30" s="61">
        <f>'D pg 2'!O44</f>
        <v>-50</v>
      </c>
      <c r="N30" s="61">
        <f>'D pg 2'!P44</f>
        <v>-350</v>
      </c>
      <c r="O30" s="61">
        <f>'D pg 2'!Q44</f>
        <v>-350</v>
      </c>
      <c r="P30" s="61">
        <f>SUM(D30:O30)</f>
        <v>-2200</v>
      </c>
    </row>
    <row r="31" spans="1:16" x14ac:dyDescent="0.25">
      <c r="A31" s="120">
        <f>A30+1</f>
        <v>14</v>
      </c>
      <c r="B31" s="44" t="str">
        <f>'C'!B82</f>
        <v xml:space="preserve">    Next 600 Mcf</v>
      </c>
      <c r="C31" s="107"/>
      <c r="D31" s="61">
        <f>'D pg 2'!F45</f>
        <v>-600</v>
      </c>
      <c r="E31" s="61">
        <f>'D pg 2'!G45</f>
        <v>-600</v>
      </c>
      <c r="F31" s="61">
        <f>'D pg 2'!H45</f>
        <v>-600</v>
      </c>
      <c r="G31" s="61">
        <f>'D pg 2'!I45</f>
        <v>-400</v>
      </c>
      <c r="H31" s="61">
        <f>'D pg 2'!J45</f>
        <v>0</v>
      </c>
      <c r="I31" s="61">
        <f>'D pg 2'!K45</f>
        <v>0</v>
      </c>
      <c r="J31" s="61">
        <f>'D pg 2'!L45</f>
        <v>0</v>
      </c>
      <c r="K31" s="61">
        <f>'D pg 2'!M45</f>
        <v>0</v>
      </c>
      <c r="L31" s="61">
        <f>'D pg 2'!N45</f>
        <v>0</v>
      </c>
      <c r="M31" s="61">
        <f>'D pg 2'!O45</f>
        <v>0</v>
      </c>
      <c r="N31" s="61">
        <f>'D pg 2'!P45</f>
        <v>-400</v>
      </c>
      <c r="O31" s="61">
        <f>'D pg 2'!Q45</f>
        <v>-600</v>
      </c>
      <c r="P31" s="61">
        <f>SUM(D31:O31)</f>
        <v>-3200</v>
      </c>
    </row>
    <row r="32" spans="1:16" x14ac:dyDescent="0.25">
      <c r="A32" s="120">
        <f>A31+1</f>
        <v>15</v>
      </c>
      <c r="B32" s="44" t="str">
        <f>'C'!B83</f>
        <v xml:space="preserve">    Over 1,000 Mcf</v>
      </c>
      <c r="C32" s="107"/>
      <c r="D32" s="68">
        <f>'D pg 2'!F46</f>
        <v>-1622.8</v>
      </c>
      <c r="E32" s="68">
        <f>'D pg 2'!G46</f>
        <v>-1096</v>
      </c>
      <c r="F32" s="68">
        <f>'D pg 2'!H46</f>
        <v>-600</v>
      </c>
      <c r="G32" s="68">
        <f>'D pg 2'!I46</f>
        <v>0</v>
      </c>
      <c r="H32" s="68">
        <f>'D pg 2'!J46</f>
        <v>0</v>
      </c>
      <c r="I32" s="68">
        <f>'D pg 2'!K46</f>
        <v>0</v>
      </c>
      <c r="J32" s="68">
        <f>'D pg 2'!L46</f>
        <v>0</v>
      </c>
      <c r="K32" s="68">
        <f>'D pg 2'!M46</f>
        <v>0</v>
      </c>
      <c r="L32" s="68">
        <f>'D pg 2'!N46</f>
        <v>0</v>
      </c>
      <c r="M32" s="68">
        <f>'D pg 2'!O46</f>
        <v>0</v>
      </c>
      <c r="N32" s="68">
        <f>'D pg 2'!P46</f>
        <v>0</v>
      </c>
      <c r="O32" s="68">
        <f>'D pg 2'!Q46</f>
        <v>-900</v>
      </c>
      <c r="P32" s="68">
        <f>SUM(D32:O32)</f>
        <v>-4218.8</v>
      </c>
    </row>
    <row r="33" spans="1:16" x14ac:dyDescent="0.25">
      <c r="A33" s="108">
        <f>A32+1</f>
        <v>16</v>
      </c>
      <c r="B33" s="105" t="s">
        <v>361</v>
      </c>
      <c r="C33" s="141"/>
      <c r="D33" s="70">
        <f t="shared" ref="D33:N33" si="4">SUM(D29:D32)</f>
        <v>-2622.8</v>
      </c>
      <c r="E33" s="70">
        <f t="shared" si="4"/>
        <v>-2096</v>
      </c>
      <c r="F33" s="70">
        <f t="shared" si="4"/>
        <v>-1600</v>
      </c>
      <c r="G33" s="70">
        <f t="shared" si="4"/>
        <v>-800</v>
      </c>
      <c r="H33" s="70">
        <f t="shared" si="4"/>
        <v>-100</v>
      </c>
      <c r="I33" s="70">
        <f t="shared" si="4"/>
        <v>-50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-100</v>
      </c>
      <c r="N33" s="70">
        <f t="shared" si="4"/>
        <v>-800</v>
      </c>
      <c r="O33" s="70">
        <f>SUM(O29:O32)</f>
        <v>-1900</v>
      </c>
      <c r="P33" s="70">
        <f>SUM(D33:O33)</f>
        <v>-10068.799999999999</v>
      </c>
    </row>
    <row r="34" spans="1:16" x14ac:dyDescent="0.25">
      <c r="A34" s="108"/>
      <c r="B34" s="105"/>
      <c r="C34" s="13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</row>
    <row r="35" spans="1:16" ht="15.6" x14ac:dyDescent="0.3">
      <c r="A35" s="108">
        <f>A33+1</f>
        <v>17</v>
      </c>
      <c r="B35" s="50" t="s">
        <v>264</v>
      </c>
      <c r="C35" s="141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70"/>
    </row>
    <row r="36" spans="1:16" x14ac:dyDescent="0.25">
      <c r="A36" s="108">
        <f>A35+1</f>
        <v>18</v>
      </c>
      <c r="B36" s="51" t="str">
        <f>'C'!B113</f>
        <v xml:space="preserve">    First 50 Mcf</v>
      </c>
      <c r="C36" s="141"/>
      <c r="D36" s="70">
        <f>'D pg 2'!F17+'D pg 2'!F25+'D pg 2'!F33</f>
        <v>150</v>
      </c>
      <c r="E36" s="70">
        <f>'D pg 2'!G17+'D pg 2'!G25+'D pg 2'!G33</f>
        <v>150</v>
      </c>
      <c r="F36" s="70">
        <f>'D pg 2'!H17+'D pg 2'!H25+'D pg 2'!H33</f>
        <v>150</v>
      </c>
      <c r="G36" s="70">
        <f>'D pg 2'!I17+'D pg 2'!I25+'D pg 2'!I33</f>
        <v>150</v>
      </c>
      <c r="H36" s="70">
        <f>'D pg 2'!J17+'D pg 2'!J25+'D pg 2'!J33</f>
        <v>150</v>
      </c>
      <c r="I36" s="70">
        <f>'D pg 2'!K17+'D pg 2'!K25+'D pg 2'!K33</f>
        <v>150</v>
      </c>
      <c r="J36" s="70">
        <f>'D pg 2'!L17+'D pg 2'!L25+'D pg 2'!L33</f>
        <v>150</v>
      </c>
      <c r="K36" s="70">
        <f>'D pg 2'!M17+'D pg 2'!M25+'D pg 2'!M33</f>
        <v>150</v>
      </c>
      <c r="L36" s="70">
        <f>'D pg 2'!N17+'D pg 2'!N25+'D pg 2'!N33</f>
        <v>150</v>
      </c>
      <c r="M36" s="70">
        <f>'D pg 2'!O17+'D pg 2'!O25+'D pg 2'!O33</f>
        <v>150</v>
      </c>
      <c r="N36" s="70">
        <f>'D pg 2'!P17+'D pg 2'!P25+'D pg 2'!P33</f>
        <v>150</v>
      </c>
      <c r="O36" s="70">
        <f>'D pg 2'!Q17+'D pg 2'!Q25+'D pg 2'!Q33</f>
        <v>150</v>
      </c>
      <c r="P36" s="70">
        <f>SUM(D36:O36)</f>
        <v>1800</v>
      </c>
    </row>
    <row r="37" spans="1:16" x14ac:dyDescent="0.25">
      <c r="A37" s="108">
        <f>A36+1</f>
        <v>19</v>
      </c>
      <c r="B37" s="51" t="str">
        <f>'C'!B114</f>
        <v xml:space="preserve">    Next 350 Mcf</v>
      </c>
      <c r="C37" s="141"/>
      <c r="D37" s="70">
        <f>'D pg 2'!F18+'D pg 2'!F26+'D pg 2'!F34</f>
        <v>1050</v>
      </c>
      <c r="E37" s="70">
        <f>'D pg 2'!G18+'D pg 2'!G26+'D pg 2'!G34</f>
        <v>1050</v>
      </c>
      <c r="F37" s="70">
        <f>'D pg 2'!H18+'D pg 2'!H26+'D pg 2'!H34</f>
        <v>1050</v>
      </c>
      <c r="G37" s="70">
        <f>'D pg 2'!I18+'D pg 2'!I26+'D pg 2'!I34</f>
        <v>1050</v>
      </c>
      <c r="H37" s="70">
        <f>'D pg 2'!J18+'D pg 2'!J26+'D pg 2'!J34</f>
        <v>1050</v>
      </c>
      <c r="I37" s="70">
        <f>'D pg 2'!K18+'D pg 2'!K26+'D pg 2'!K34</f>
        <v>1050</v>
      </c>
      <c r="J37" s="70">
        <f>'D pg 2'!L18+'D pg 2'!L26+'D pg 2'!L34</f>
        <v>1050</v>
      </c>
      <c r="K37" s="70">
        <f>'D pg 2'!M18+'D pg 2'!M26+'D pg 2'!M34</f>
        <v>1050</v>
      </c>
      <c r="L37" s="70">
        <f>'D pg 2'!N18+'D pg 2'!N26+'D pg 2'!N34</f>
        <v>1050</v>
      </c>
      <c r="M37" s="70">
        <f>'D pg 2'!O18+'D pg 2'!O26+'D pg 2'!O34</f>
        <v>1050</v>
      </c>
      <c r="N37" s="70">
        <f>'D pg 2'!P18+'D pg 2'!P26+'D pg 2'!P34</f>
        <v>1050</v>
      </c>
      <c r="O37" s="70">
        <f>'D pg 2'!Q18+'D pg 2'!Q26+'D pg 2'!Q34</f>
        <v>1050</v>
      </c>
      <c r="P37" s="70">
        <f>SUM(D37:O37)</f>
        <v>12600</v>
      </c>
    </row>
    <row r="38" spans="1:16" x14ac:dyDescent="0.25">
      <c r="A38" s="108">
        <f>A37+1</f>
        <v>20</v>
      </c>
      <c r="B38" s="51" t="str">
        <f>'C'!B115</f>
        <v xml:space="preserve">    Next 600 Mcf</v>
      </c>
      <c r="C38" s="141"/>
      <c r="D38" s="70">
        <f>'D pg 2'!F19+'D pg 2'!F27+'D pg 2'!F35</f>
        <v>1800</v>
      </c>
      <c r="E38" s="70">
        <f>'D pg 2'!G19+'D pg 2'!G27+'D pg 2'!G35</f>
        <v>1800</v>
      </c>
      <c r="F38" s="70">
        <f>'D pg 2'!H19+'D pg 2'!H27+'D pg 2'!H35</f>
        <v>1700</v>
      </c>
      <c r="G38" s="70">
        <f>'D pg 2'!I19+'D pg 2'!I27+'D pg 2'!I35</f>
        <v>1600</v>
      </c>
      <c r="H38" s="70">
        <f>'D pg 2'!J19+'D pg 2'!J27+'D pg 2'!J35</f>
        <v>1600</v>
      </c>
      <c r="I38" s="70">
        <f>'D pg 2'!K19+'D pg 2'!K27+'D pg 2'!K35</f>
        <v>1550</v>
      </c>
      <c r="J38" s="70">
        <f>'D pg 2'!L19+'D pg 2'!L27+'D pg 2'!L35</f>
        <v>1550</v>
      </c>
      <c r="K38" s="70">
        <f>'D pg 2'!M19+'D pg 2'!M27+'D pg 2'!M35</f>
        <v>1550</v>
      </c>
      <c r="L38" s="70">
        <f>'D pg 2'!N19+'D pg 2'!N27+'D pg 2'!N35</f>
        <v>1550</v>
      </c>
      <c r="M38" s="70">
        <f>'D pg 2'!O19+'D pg 2'!O27+'D pg 2'!O35</f>
        <v>1650</v>
      </c>
      <c r="N38" s="70">
        <f>'D pg 2'!P19+'D pg 2'!P27+'D pg 2'!P35</f>
        <v>1700</v>
      </c>
      <c r="O38" s="70">
        <f>'D pg 2'!Q19+'D pg 2'!Q27+'D pg 2'!Q35</f>
        <v>1800</v>
      </c>
      <c r="P38" s="70">
        <f>SUM(D38:O38)</f>
        <v>19850</v>
      </c>
    </row>
    <row r="39" spans="1:16" x14ac:dyDescent="0.25">
      <c r="A39" s="108">
        <f>A38+1</f>
        <v>21</v>
      </c>
      <c r="B39" s="51" t="str">
        <f>'C'!B116</f>
        <v xml:space="preserve">    Over 1,000 Mcf</v>
      </c>
      <c r="C39" s="141"/>
      <c r="D39" s="136">
        <f>'D pg 2'!F20+'D pg 2'!F28+'D pg 2'!F36</f>
        <v>17000</v>
      </c>
      <c r="E39" s="136">
        <f>'D pg 2'!G20+'D pg 2'!G28+'D pg 2'!G36</f>
        <v>17000</v>
      </c>
      <c r="F39" s="136">
        <f>'D pg 2'!H20+'D pg 2'!H28+'D pg 2'!H36</f>
        <v>17000</v>
      </c>
      <c r="G39" s="136">
        <f>'D pg 2'!I20+'D pg 2'!I28+'D pg 2'!I36</f>
        <v>17000</v>
      </c>
      <c r="H39" s="136">
        <f>'D pg 2'!J20+'D pg 2'!J28+'D pg 2'!J36</f>
        <v>17000</v>
      </c>
      <c r="I39" s="136">
        <f>'D pg 2'!K20+'D pg 2'!K28+'D pg 2'!K36</f>
        <v>17000</v>
      </c>
      <c r="J39" s="136">
        <f>'D pg 2'!L20+'D pg 2'!L28+'D pg 2'!L36</f>
        <v>17000</v>
      </c>
      <c r="K39" s="136">
        <f>'D pg 2'!M20+'D pg 2'!M28+'D pg 2'!M36</f>
        <v>17000</v>
      </c>
      <c r="L39" s="136">
        <f>'D pg 2'!N20+'D pg 2'!N28+'D pg 2'!N36</f>
        <v>17000</v>
      </c>
      <c r="M39" s="136">
        <f>'D pg 2'!O20+'D pg 2'!O28+'D pg 2'!O36</f>
        <v>17000</v>
      </c>
      <c r="N39" s="136">
        <f>'D pg 2'!P20+'D pg 2'!P28+'D pg 2'!P36</f>
        <v>17000</v>
      </c>
      <c r="O39" s="136">
        <f>'D pg 2'!Q20+'D pg 2'!Q28+'D pg 2'!Q36</f>
        <v>17000</v>
      </c>
      <c r="P39" s="136">
        <f>SUM(D39:O39)</f>
        <v>204000</v>
      </c>
    </row>
    <row r="40" spans="1:16" x14ac:dyDescent="0.25">
      <c r="A40" s="108">
        <f>A39+1</f>
        <v>22</v>
      </c>
      <c r="B40" s="105" t="s">
        <v>361</v>
      </c>
      <c r="C40" s="141"/>
      <c r="D40" s="70">
        <f t="shared" ref="D40:N40" si="5">SUM(D36:D39)</f>
        <v>20000</v>
      </c>
      <c r="E40" s="70">
        <f t="shared" si="5"/>
        <v>20000</v>
      </c>
      <c r="F40" s="70">
        <f t="shared" si="5"/>
        <v>19900</v>
      </c>
      <c r="G40" s="70">
        <f t="shared" si="5"/>
        <v>19800</v>
      </c>
      <c r="H40" s="70">
        <f t="shared" si="5"/>
        <v>19800</v>
      </c>
      <c r="I40" s="70">
        <f t="shared" si="5"/>
        <v>19750</v>
      </c>
      <c r="J40" s="70">
        <f t="shared" si="5"/>
        <v>19750</v>
      </c>
      <c r="K40" s="70">
        <f t="shared" si="5"/>
        <v>19750</v>
      </c>
      <c r="L40" s="70">
        <f t="shared" si="5"/>
        <v>19750</v>
      </c>
      <c r="M40" s="70">
        <f t="shared" si="5"/>
        <v>19850</v>
      </c>
      <c r="N40" s="70">
        <f t="shared" si="5"/>
        <v>19900</v>
      </c>
      <c r="O40" s="70">
        <f>SUM(O36:O39)</f>
        <v>20000</v>
      </c>
      <c r="P40" s="70">
        <f>SUM(D40:O40)</f>
        <v>238250</v>
      </c>
    </row>
    <row r="41" spans="1:16" ht="15.6" x14ac:dyDescent="0.3">
      <c r="A41" s="92"/>
      <c r="B41" s="51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309"/>
    </row>
    <row r="42" spans="1:16" ht="15.6" x14ac:dyDescent="0.3">
      <c r="A42" s="108">
        <f>A40+1</f>
        <v>23</v>
      </c>
      <c r="B42" s="50" t="s">
        <v>270</v>
      </c>
      <c r="C42" s="141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70"/>
    </row>
    <row r="43" spans="1:16" x14ac:dyDescent="0.25">
      <c r="A43" s="108">
        <f>A42+1</f>
        <v>24</v>
      </c>
      <c r="B43" s="51" t="str">
        <f>'C'!B291</f>
        <v xml:space="preserve">    First 50 Mcf</v>
      </c>
      <c r="C43" s="141"/>
      <c r="D43" s="323">
        <v>0</v>
      </c>
      <c r="E43" s="323">
        <v>0</v>
      </c>
      <c r="F43" s="323">
        <v>0</v>
      </c>
      <c r="G43" s="323">
        <v>0</v>
      </c>
      <c r="H43" s="323">
        <v>0</v>
      </c>
      <c r="I43" s="323">
        <v>0</v>
      </c>
      <c r="J43" s="323">
        <v>0</v>
      </c>
      <c r="K43" s="323">
        <v>0</v>
      </c>
      <c r="L43" s="323">
        <v>0</v>
      </c>
      <c r="M43" s="323">
        <v>0</v>
      </c>
      <c r="N43" s="323">
        <v>0</v>
      </c>
      <c r="O43" s="323">
        <v>0</v>
      </c>
      <c r="P43" s="70">
        <f>SUM(D43:O43)</f>
        <v>0</v>
      </c>
    </row>
    <row r="44" spans="1:16" x14ac:dyDescent="0.25">
      <c r="A44" s="108">
        <f>A43+1</f>
        <v>25</v>
      </c>
      <c r="B44" s="51" t="str">
        <f>'C'!B292</f>
        <v xml:space="preserve">    Next 350 Mcf</v>
      </c>
      <c r="C44" s="141"/>
      <c r="D44" s="323">
        <v>0</v>
      </c>
      <c r="E44" s="323">
        <v>0</v>
      </c>
      <c r="F44" s="323">
        <v>0</v>
      </c>
      <c r="G44" s="323">
        <v>0</v>
      </c>
      <c r="H44" s="323">
        <v>0</v>
      </c>
      <c r="I44" s="323">
        <v>0</v>
      </c>
      <c r="J44" s="323">
        <v>0</v>
      </c>
      <c r="K44" s="323">
        <v>0</v>
      </c>
      <c r="L44" s="323">
        <v>0</v>
      </c>
      <c r="M44" s="323">
        <v>0</v>
      </c>
      <c r="N44" s="323">
        <v>0</v>
      </c>
      <c r="O44" s="323">
        <v>0</v>
      </c>
      <c r="P44" s="70">
        <f>SUM(D44:O44)</f>
        <v>0</v>
      </c>
    </row>
    <row r="45" spans="1:16" x14ac:dyDescent="0.25">
      <c r="A45" s="108">
        <f>A44+1</f>
        <v>26</v>
      </c>
      <c r="B45" s="51" t="str">
        <f>'C'!B293</f>
        <v xml:space="preserve">    Next 600 Mcf</v>
      </c>
      <c r="C45" s="141"/>
      <c r="D45" s="323">
        <v>0</v>
      </c>
      <c r="E45" s="323">
        <v>0</v>
      </c>
      <c r="F45" s="323">
        <v>0</v>
      </c>
      <c r="G45" s="323">
        <v>0</v>
      </c>
      <c r="H45" s="323">
        <v>0</v>
      </c>
      <c r="I45" s="323">
        <v>0</v>
      </c>
      <c r="J45" s="323">
        <v>0</v>
      </c>
      <c r="K45" s="323">
        <v>0</v>
      </c>
      <c r="L45" s="323">
        <v>0</v>
      </c>
      <c r="M45" s="323">
        <v>0</v>
      </c>
      <c r="N45" s="323">
        <v>0</v>
      </c>
      <c r="O45" s="323">
        <v>0</v>
      </c>
      <c r="P45" s="70">
        <f>SUM(D45:O45)</f>
        <v>0</v>
      </c>
    </row>
    <row r="46" spans="1:16" x14ac:dyDescent="0.25">
      <c r="A46" s="108">
        <f>A45+1</f>
        <v>27</v>
      </c>
      <c r="B46" s="51" t="str">
        <f>'C'!B294</f>
        <v xml:space="preserve">    Over 1,000 Mcf</v>
      </c>
      <c r="C46" s="141"/>
      <c r="D46" s="332">
        <v>0</v>
      </c>
      <c r="E46" s="332">
        <v>0</v>
      </c>
      <c r="F46" s="332">
        <v>0</v>
      </c>
      <c r="G46" s="332">
        <v>0</v>
      </c>
      <c r="H46" s="332">
        <v>0</v>
      </c>
      <c r="I46" s="332">
        <v>0</v>
      </c>
      <c r="J46" s="332">
        <v>0</v>
      </c>
      <c r="K46" s="332">
        <v>0</v>
      </c>
      <c r="L46" s="332">
        <v>0</v>
      </c>
      <c r="M46" s="332">
        <v>0</v>
      </c>
      <c r="N46" s="332">
        <v>0</v>
      </c>
      <c r="O46" s="332">
        <v>0</v>
      </c>
      <c r="P46" s="136">
        <f>SUM(D46:O46)</f>
        <v>0</v>
      </c>
    </row>
    <row r="47" spans="1:16" x14ac:dyDescent="0.25">
      <c r="A47" s="108">
        <f>A46+1</f>
        <v>28</v>
      </c>
      <c r="B47" s="105" t="s">
        <v>361</v>
      </c>
      <c r="C47" s="141"/>
      <c r="D47" s="70">
        <f t="shared" ref="D47:N47" si="6">SUM(D43:D46)</f>
        <v>0</v>
      </c>
      <c r="E47" s="70">
        <f t="shared" si="6"/>
        <v>0</v>
      </c>
      <c r="F47" s="70">
        <f t="shared" si="6"/>
        <v>0</v>
      </c>
      <c r="G47" s="70">
        <f t="shared" si="6"/>
        <v>0</v>
      </c>
      <c r="H47" s="70">
        <f t="shared" si="6"/>
        <v>0</v>
      </c>
      <c r="I47" s="70">
        <f t="shared" si="6"/>
        <v>0</v>
      </c>
      <c r="J47" s="70">
        <f t="shared" si="6"/>
        <v>0</v>
      </c>
      <c r="K47" s="70">
        <f t="shared" si="6"/>
        <v>0</v>
      </c>
      <c r="L47" s="70">
        <f t="shared" si="6"/>
        <v>0</v>
      </c>
      <c r="M47" s="70">
        <f t="shared" si="6"/>
        <v>0</v>
      </c>
      <c r="N47" s="70">
        <f t="shared" si="6"/>
        <v>0</v>
      </c>
      <c r="O47" s="70">
        <f>SUM(O43:O46)</f>
        <v>0</v>
      </c>
      <c r="P47" s="70">
        <f>SUM(D47:O47)</f>
        <v>0</v>
      </c>
    </row>
    <row r="48" spans="1:16" x14ac:dyDescent="0.25">
      <c r="A48" s="108"/>
      <c r="B48" s="105"/>
      <c r="C48" s="13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</row>
    <row r="49" spans="1:16" ht="15.6" x14ac:dyDescent="0.3">
      <c r="A49" s="108">
        <f>A47+1</f>
        <v>29</v>
      </c>
      <c r="B49" s="50" t="s">
        <v>261</v>
      </c>
      <c r="C49" s="141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70"/>
    </row>
    <row r="50" spans="1:16" x14ac:dyDescent="0.25">
      <c r="A50" s="108">
        <f>A49+1</f>
        <v>30</v>
      </c>
      <c r="B50" s="51" t="str">
        <f>'C'!B311</f>
        <v xml:space="preserve">    First 50 Mcf</v>
      </c>
      <c r="C50" s="141"/>
      <c r="D50" s="323">
        <v>0</v>
      </c>
      <c r="E50" s="323">
        <v>0</v>
      </c>
      <c r="F50" s="323">
        <v>0</v>
      </c>
      <c r="G50" s="323">
        <v>0</v>
      </c>
      <c r="H50" s="323">
        <v>0</v>
      </c>
      <c r="I50" s="323">
        <v>0</v>
      </c>
      <c r="J50" s="323">
        <v>0</v>
      </c>
      <c r="K50" s="323">
        <v>0</v>
      </c>
      <c r="L50" s="323">
        <v>0</v>
      </c>
      <c r="M50" s="323">
        <v>0</v>
      </c>
      <c r="N50" s="323">
        <v>0</v>
      </c>
      <c r="O50" s="323">
        <v>0</v>
      </c>
      <c r="P50" s="70">
        <f>SUM(D50:O50)</f>
        <v>0</v>
      </c>
    </row>
    <row r="51" spans="1:16" x14ac:dyDescent="0.25">
      <c r="A51" s="108">
        <f>A50+1</f>
        <v>31</v>
      </c>
      <c r="B51" s="51" t="str">
        <f>'C'!B312</f>
        <v xml:space="preserve">    Next 350 Mcf</v>
      </c>
      <c r="C51" s="141"/>
      <c r="D51" s="323">
        <v>0</v>
      </c>
      <c r="E51" s="323">
        <v>0</v>
      </c>
      <c r="F51" s="323">
        <v>0</v>
      </c>
      <c r="G51" s="323">
        <v>0</v>
      </c>
      <c r="H51" s="323">
        <v>0</v>
      </c>
      <c r="I51" s="323">
        <v>0</v>
      </c>
      <c r="J51" s="323">
        <v>0</v>
      </c>
      <c r="K51" s="323">
        <v>0</v>
      </c>
      <c r="L51" s="323">
        <v>0</v>
      </c>
      <c r="M51" s="323">
        <v>0</v>
      </c>
      <c r="N51" s="323">
        <v>0</v>
      </c>
      <c r="O51" s="323">
        <v>0</v>
      </c>
      <c r="P51" s="70">
        <f>SUM(D51:O51)</f>
        <v>0</v>
      </c>
    </row>
    <row r="52" spans="1:16" x14ac:dyDescent="0.25">
      <c r="A52" s="108">
        <f>A51+1</f>
        <v>32</v>
      </c>
      <c r="B52" s="51" t="str">
        <f>'C'!B313</f>
        <v xml:space="preserve">    Next 600 Mcf</v>
      </c>
      <c r="C52" s="141"/>
      <c r="D52" s="323">
        <v>0</v>
      </c>
      <c r="E52" s="323">
        <v>0</v>
      </c>
      <c r="F52" s="323">
        <v>0</v>
      </c>
      <c r="G52" s="323">
        <v>0</v>
      </c>
      <c r="H52" s="323">
        <v>0</v>
      </c>
      <c r="I52" s="323">
        <v>0</v>
      </c>
      <c r="J52" s="323">
        <v>0</v>
      </c>
      <c r="K52" s="323">
        <v>0</v>
      </c>
      <c r="L52" s="323">
        <v>0</v>
      </c>
      <c r="M52" s="323">
        <v>0</v>
      </c>
      <c r="N52" s="323">
        <v>0</v>
      </c>
      <c r="O52" s="323">
        <v>0</v>
      </c>
      <c r="P52" s="70">
        <f>SUM(D52:O52)</f>
        <v>0</v>
      </c>
    </row>
    <row r="53" spans="1:16" x14ac:dyDescent="0.25">
      <c r="A53" s="108">
        <f>A52+1</f>
        <v>33</v>
      </c>
      <c r="B53" s="51" t="str">
        <f>'C'!B314</f>
        <v xml:space="preserve">    Over 1,000 Mcf</v>
      </c>
      <c r="C53" s="141"/>
      <c r="D53" s="332">
        <v>0</v>
      </c>
      <c r="E53" s="332">
        <v>0</v>
      </c>
      <c r="F53" s="332">
        <v>0</v>
      </c>
      <c r="G53" s="332">
        <v>0</v>
      </c>
      <c r="H53" s="332">
        <v>0</v>
      </c>
      <c r="I53" s="332">
        <v>0</v>
      </c>
      <c r="J53" s="332">
        <v>0</v>
      </c>
      <c r="K53" s="332">
        <v>0</v>
      </c>
      <c r="L53" s="332">
        <v>0</v>
      </c>
      <c r="M53" s="332">
        <v>0</v>
      </c>
      <c r="N53" s="332">
        <v>0</v>
      </c>
      <c r="O53" s="332">
        <v>0</v>
      </c>
      <c r="P53" s="136">
        <f>SUM(D53:O53)</f>
        <v>0</v>
      </c>
    </row>
    <row r="54" spans="1:16" x14ac:dyDescent="0.25">
      <c r="A54" s="108">
        <f>A53+1</f>
        <v>34</v>
      </c>
      <c r="B54" s="105" t="s">
        <v>361</v>
      </c>
      <c r="C54" s="141"/>
      <c r="D54" s="70">
        <f t="shared" ref="D54:N54" si="7">SUM(D50:D53)</f>
        <v>0</v>
      </c>
      <c r="E54" s="70">
        <f t="shared" si="7"/>
        <v>0</v>
      </c>
      <c r="F54" s="70">
        <f t="shared" si="7"/>
        <v>0</v>
      </c>
      <c r="G54" s="70">
        <f t="shared" si="7"/>
        <v>0</v>
      </c>
      <c r="H54" s="70">
        <f t="shared" si="7"/>
        <v>0</v>
      </c>
      <c r="I54" s="70">
        <f t="shared" si="7"/>
        <v>0</v>
      </c>
      <c r="J54" s="70">
        <f t="shared" si="7"/>
        <v>0</v>
      </c>
      <c r="K54" s="70">
        <f t="shared" si="7"/>
        <v>0</v>
      </c>
      <c r="L54" s="70">
        <f t="shared" si="7"/>
        <v>0</v>
      </c>
      <c r="M54" s="70">
        <f t="shared" si="7"/>
        <v>0</v>
      </c>
      <c r="N54" s="70">
        <f t="shared" si="7"/>
        <v>0</v>
      </c>
      <c r="O54" s="70">
        <f>SUM(O50:O53)</f>
        <v>0</v>
      </c>
      <c r="P54" s="70">
        <f>SUM(D54:O54)</f>
        <v>0</v>
      </c>
    </row>
    <row r="55" spans="1:16" x14ac:dyDescent="0.25">
      <c r="A55" s="108"/>
      <c r="B55" s="105"/>
      <c r="C55" s="141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1:16" ht="15.6" x14ac:dyDescent="0.3">
      <c r="A56" s="108">
        <f>A54+1</f>
        <v>35</v>
      </c>
      <c r="B56" s="50" t="s">
        <v>262</v>
      </c>
      <c r="C56" s="141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70"/>
    </row>
    <row r="57" spans="1:16" x14ac:dyDescent="0.25">
      <c r="A57" s="108">
        <f>A56+1</f>
        <v>36</v>
      </c>
      <c r="B57" s="51" t="str">
        <f>'C'!B261</f>
        <v xml:space="preserve">    First 30,000 Mcf</v>
      </c>
      <c r="C57" s="141"/>
      <c r="D57" s="70">
        <f>'D pg 2'!F59</f>
        <v>-10000</v>
      </c>
      <c r="E57" s="70">
        <f>'D pg 2'!G59</f>
        <v>-10000</v>
      </c>
      <c r="F57" s="70">
        <f>'D pg 2'!H59</f>
        <v>-10000</v>
      </c>
      <c r="G57" s="70">
        <f>'D pg 2'!I59</f>
        <v>-10000</v>
      </c>
      <c r="H57" s="70">
        <f>'D pg 2'!J59</f>
        <v>-10000</v>
      </c>
      <c r="I57" s="70">
        <f>'D pg 2'!K59</f>
        <v>-10000</v>
      </c>
      <c r="J57" s="70">
        <f>'D pg 2'!L59</f>
        <v>-10000</v>
      </c>
      <c r="K57" s="70">
        <f>'D pg 2'!M59</f>
        <v>-10000</v>
      </c>
      <c r="L57" s="70">
        <f>'D pg 2'!N59</f>
        <v>-10000</v>
      </c>
      <c r="M57" s="70">
        <f>'D pg 2'!O59</f>
        <v>-10000</v>
      </c>
      <c r="N57" s="70">
        <f>'D pg 2'!P59</f>
        <v>-10000</v>
      </c>
      <c r="O57" s="70">
        <f>'D pg 2'!Q59</f>
        <v>-10000</v>
      </c>
      <c r="P57" s="70">
        <f>SUM(D57:O57)</f>
        <v>-120000</v>
      </c>
    </row>
    <row r="58" spans="1:16" x14ac:dyDescent="0.25">
      <c r="A58" s="108">
        <f>A57+1</f>
        <v>37</v>
      </c>
      <c r="B58" s="51" t="str">
        <f>'C'!B262</f>
        <v xml:space="preserve">    Next 70,000 Mcf</v>
      </c>
      <c r="C58" s="141"/>
      <c r="D58" s="70">
        <f>'D pg 2'!F60</f>
        <v>0</v>
      </c>
      <c r="E58" s="70">
        <f>'D pg 2'!G60</f>
        <v>0</v>
      </c>
      <c r="F58" s="70">
        <f>'D pg 2'!H60</f>
        <v>0</v>
      </c>
      <c r="G58" s="70">
        <f>'D pg 2'!I60</f>
        <v>0</v>
      </c>
      <c r="H58" s="70">
        <f>'D pg 2'!J60</f>
        <v>0</v>
      </c>
      <c r="I58" s="70">
        <f>'D pg 2'!K60</f>
        <v>0</v>
      </c>
      <c r="J58" s="70">
        <f>'D pg 2'!L60</f>
        <v>0</v>
      </c>
      <c r="K58" s="70">
        <f>'D pg 2'!M60</f>
        <v>0</v>
      </c>
      <c r="L58" s="70">
        <f>'D pg 2'!N60</f>
        <v>0</v>
      </c>
      <c r="M58" s="70">
        <f>'D pg 2'!O60</f>
        <v>0</v>
      </c>
      <c r="N58" s="70">
        <f>'D pg 2'!P60</f>
        <v>0</v>
      </c>
      <c r="O58" s="70">
        <f>'D pg 2'!Q60</f>
        <v>0</v>
      </c>
      <c r="P58" s="70">
        <f>SUM(D58:O58)</f>
        <v>0</v>
      </c>
    </row>
    <row r="59" spans="1:16" x14ac:dyDescent="0.25">
      <c r="A59" s="108">
        <f>A58+1</f>
        <v>38</v>
      </c>
      <c r="B59" s="51" t="str">
        <f>'C'!B263</f>
        <v xml:space="preserve">    Over 100,000 Mcf</v>
      </c>
      <c r="C59" s="141"/>
      <c r="D59" s="136">
        <f>'D pg 2'!F61</f>
        <v>0</v>
      </c>
      <c r="E59" s="136">
        <f>'D pg 2'!G61</f>
        <v>0</v>
      </c>
      <c r="F59" s="136">
        <f>'D pg 2'!H61</f>
        <v>0</v>
      </c>
      <c r="G59" s="136">
        <f>'D pg 2'!I61</f>
        <v>0</v>
      </c>
      <c r="H59" s="136">
        <f>'D pg 2'!J61</f>
        <v>0</v>
      </c>
      <c r="I59" s="136">
        <f>'D pg 2'!K61</f>
        <v>0</v>
      </c>
      <c r="J59" s="136">
        <f>'D pg 2'!L61</f>
        <v>0</v>
      </c>
      <c r="K59" s="136">
        <f>'D pg 2'!M61</f>
        <v>0</v>
      </c>
      <c r="L59" s="136">
        <f>'D pg 2'!N61</f>
        <v>0</v>
      </c>
      <c r="M59" s="136">
        <f>'D pg 2'!O61</f>
        <v>0</v>
      </c>
      <c r="N59" s="136">
        <f>'D pg 2'!P61</f>
        <v>0</v>
      </c>
      <c r="O59" s="136">
        <f>'D pg 2'!Q61</f>
        <v>0</v>
      </c>
      <c r="P59" s="136">
        <f>SUM(D59:O59)</f>
        <v>0</v>
      </c>
    </row>
    <row r="60" spans="1:16" x14ac:dyDescent="0.25">
      <c r="A60" s="108">
        <f>A59+1</f>
        <v>39</v>
      </c>
      <c r="B60" s="105" t="s">
        <v>361</v>
      </c>
      <c r="C60" s="141"/>
      <c r="D60" s="70">
        <f t="shared" ref="D60:N60" si="8">SUM(D57:D59)</f>
        <v>-10000</v>
      </c>
      <c r="E60" s="70">
        <f t="shared" si="8"/>
        <v>-10000</v>
      </c>
      <c r="F60" s="70">
        <f t="shared" si="8"/>
        <v>-10000</v>
      </c>
      <c r="G60" s="70">
        <f t="shared" si="8"/>
        <v>-10000</v>
      </c>
      <c r="H60" s="70">
        <f t="shared" si="8"/>
        <v>-10000</v>
      </c>
      <c r="I60" s="70">
        <f t="shared" si="8"/>
        <v>-10000</v>
      </c>
      <c r="J60" s="70">
        <f t="shared" si="8"/>
        <v>-10000</v>
      </c>
      <c r="K60" s="70">
        <f t="shared" si="8"/>
        <v>-10000</v>
      </c>
      <c r="L60" s="70">
        <f t="shared" si="8"/>
        <v>-10000</v>
      </c>
      <c r="M60" s="70">
        <f t="shared" si="8"/>
        <v>-10000</v>
      </c>
      <c r="N60" s="70">
        <f t="shared" si="8"/>
        <v>-10000</v>
      </c>
      <c r="O60" s="70">
        <f>SUM(O57:O59)</f>
        <v>-10000</v>
      </c>
      <c r="P60" s="70">
        <f>SUM(D60:O60)</f>
        <v>-120000</v>
      </c>
    </row>
    <row r="61" spans="1:16" x14ac:dyDescent="0.25">
      <c r="A61" s="108"/>
      <c r="B61" s="105"/>
      <c r="C61" s="141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  <row r="62" spans="1:16" ht="15.6" x14ac:dyDescent="0.3">
      <c r="A62" s="108">
        <f>A60+1</f>
        <v>40</v>
      </c>
      <c r="B62" s="76" t="s">
        <v>279</v>
      </c>
      <c r="C62" s="141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70"/>
    </row>
    <row r="63" spans="1:16" x14ac:dyDescent="0.25">
      <c r="A63" s="108">
        <f>A62+1</f>
        <v>41</v>
      </c>
      <c r="B63" s="62" t="s">
        <v>492</v>
      </c>
      <c r="C63" s="141"/>
      <c r="D63" s="70">
        <f>'D pg 2'!F53</f>
        <v>0</v>
      </c>
      <c r="E63" s="70">
        <f>'D pg 2'!G53</f>
        <v>0</v>
      </c>
      <c r="F63" s="70">
        <f>'D pg 2'!H53</f>
        <v>-10000</v>
      </c>
      <c r="G63" s="70">
        <f>'D pg 2'!I53</f>
        <v>-10000</v>
      </c>
      <c r="H63" s="70">
        <f>'D pg 2'!J53</f>
        <v>-20000</v>
      </c>
      <c r="I63" s="70">
        <f>'D pg 2'!K53</f>
        <v>-20000</v>
      </c>
      <c r="J63" s="70">
        <f>'D pg 2'!L53</f>
        <v>-20000</v>
      </c>
      <c r="K63" s="70">
        <f>'D pg 2'!M53</f>
        <v>-20000</v>
      </c>
      <c r="L63" s="70">
        <f>'D pg 2'!N53</f>
        <v>-20000</v>
      </c>
      <c r="M63" s="70">
        <f>'D pg 2'!O53</f>
        <v>-20000</v>
      </c>
      <c r="N63" s="70">
        <f>'D pg 2'!P53</f>
        <v>-10000</v>
      </c>
      <c r="O63" s="70">
        <f>'D pg 2'!Q53</f>
        <v>0</v>
      </c>
      <c r="P63" s="70">
        <f>SUM(D63:O63)</f>
        <v>-150000</v>
      </c>
    </row>
    <row r="64" spans="1:16" x14ac:dyDescent="0.25">
      <c r="A64" s="108">
        <f>A63+1</f>
        <v>42</v>
      </c>
      <c r="B64" s="62" t="s">
        <v>281</v>
      </c>
      <c r="C64" s="141"/>
      <c r="D64" s="136">
        <f>'D pg 2'!F54</f>
        <v>-230112</v>
      </c>
      <c r="E64" s="136">
        <f>'D pg 2'!G54</f>
        <v>-228376</v>
      </c>
      <c r="F64" s="136">
        <f>'D pg 2'!H54</f>
        <v>-233376</v>
      </c>
      <c r="G64" s="136">
        <f>'D pg 2'!I54</f>
        <v>-245376</v>
      </c>
      <c r="H64" s="136">
        <f>'D pg 2'!J54</f>
        <v>-252376</v>
      </c>
      <c r="I64" s="136">
        <f>'D pg 2'!K54</f>
        <v>-261376</v>
      </c>
      <c r="J64" s="136">
        <f>'D pg 2'!L54</f>
        <v>-261376</v>
      </c>
      <c r="K64" s="136">
        <f>'D pg 2'!M54</f>
        <v>-261376</v>
      </c>
      <c r="L64" s="136">
        <f>'D pg 2'!N54</f>
        <v>-243376</v>
      </c>
      <c r="M64" s="136">
        <f>'D pg 2'!O54</f>
        <v>-218376</v>
      </c>
      <c r="N64" s="136">
        <f>'D pg 2'!P54</f>
        <v>-223376</v>
      </c>
      <c r="O64" s="136">
        <f>'D pg 2'!Q54</f>
        <v>-235112</v>
      </c>
      <c r="P64" s="136">
        <f>SUM(D64:O64)</f>
        <v>-2893984</v>
      </c>
    </row>
    <row r="65" spans="1:16" x14ac:dyDescent="0.25">
      <c r="A65" s="108">
        <f>A64+1</f>
        <v>43</v>
      </c>
      <c r="B65" s="105" t="s">
        <v>361</v>
      </c>
      <c r="C65" s="141"/>
      <c r="D65" s="70">
        <f t="shared" ref="D65:N65" si="9">SUM(D63:D64)</f>
        <v>-230112</v>
      </c>
      <c r="E65" s="70">
        <f t="shared" si="9"/>
        <v>-228376</v>
      </c>
      <c r="F65" s="70">
        <f t="shared" si="9"/>
        <v>-243376</v>
      </c>
      <c r="G65" s="70">
        <f t="shared" si="9"/>
        <v>-255376</v>
      </c>
      <c r="H65" s="70">
        <f t="shared" si="9"/>
        <v>-272376</v>
      </c>
      <c r="I65" s="70">
        <f t="shared" si="9"/>
        <v>-281376</v>
      </c>
      <c r="J65" s="70">
        <f t="shared" si="9"/>
        <v>-281376</v>
      </c>
      <c r="K65" s="70">
        <f t="shared" si="9"/>
        <v>-281376</v>
      </c>
      <c r="L65" s="70">
        <f t="shared" si="9"/>
        <v>-263376</v>
      </c>
      <c r="M65" s="70">
        <f t="shared" si="9"/>
        <v>-238376</v>
      </c>
      <c r="N65" s="70">
        <f t="shared" si="9"/>
        <v>-233376</v>
      </c>
      <c r="O65" s="70">
        <f>SUM(O63:O64)</f>
        <v>-235112</v>
      </c>
      <c r="P65" s="70">
        <f>SUM(D65:O65)</f>
        <v>-3043984</v>
      </c>
    </row>
    <row r="66" spans="1:16" x14ac:dyDescent="0.25">
      <c r="A66" s="108"/>
      <c r="B66" s="105"/>
      <c r="C66" s="131"/>
      <c r="P66" s="151"/>
    </row>
    <row r="67" spans="1:16" ht="15.6" x14ac:dyDescent="0.3">
      <c r="A67" s="108">
        <f>A65+1</f>
        <v>44</v>
      </c>
      <c r="B67" s="132" t="s">
        <v>287</v>
      </c>
      <c r="C67" s="131"/>
      <c r="D67" s="70">
        <f>D33+D40+D60+D47+D65+D54</f>
        <v>-222734.8</v>
      </c>
      <c r="E67" s="70">
        <f t="shared" ref="E67:O67" si="10">E33+E40+E60+E47+E65+E54</f>
        <v>-220472</v>
      </c>
      <c r="F67" s="70">
        <f t="shared" si="10"/>
        <v>-235076</v>
      </c>
      <c r="G67" s="70">
        <f t="shared" si="10"/>
        <v>-246376</v>
      </c>
      <c r="H67" s="70">
        <f t="shared" si="10"/>
        <v>-262676</v>
      </c>
      <c r="I67" s="70">
        <f t="shared" si="10"/>
        <v>-271676</v>
      </c>
      <c r="J67" s="70">
        <f t="shared" si="10"/>
        <v>-271626</v>
      </c>
      <c r="K67" s="70">
        <f t="shared" si="10"/>
        <v>-271626</v>
      </c>
      <c r="L67" s="70">
        <f t="shared" si="10"/>
        <v>-253626</v>
      </c>
      <c r="M67" s="70">
        <f t="shared" si="10"/>
        <v>-228626</v>
      </c>
      <c r="N67" s="70">
        <f t="shared" si="10"/>
        <v>-224276</v>
      </c>
      <c r="O67" s="70">
        <f t="shared" si="10"/>
        <v>-227012</v>
      </c>
      <c r="P67" s="70">
        <f>SUM(D67:O67)</f>
        <v>-2935802.8</v>
      </c>
    </row>
    <row r="68" spans="1:16" x14ac:dyDescent="0.25">
      <c r="A68" s="108"/>
      <c r="B68" s="105"/>
      <c r="C68" s="13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</row>
    <row r="69" spans="1:16" x14ac:dyDescent="0.25">
      <c r="A69" s="108"/>
      <c r="B69" s="105"/>
      <c r="C69" s="13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</row>
    <row r="70" spans="1:16" x14ac:dyDescent="0.25">
      <c r="A70" s="108"/>
      <c r="B70" s="105"/>
      <c r="C70" s="13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</row>
    <row r="71" spans="1:16" x14ac:dyDescent="0.25">
      <c r="A71" s="108"/>
      <c r="B71" s="105"/>
      <c r="C71" s="13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</row>
    <row r="72" spans="1:16" x14ac:dyDescent="0.25">
      <c r="A72" s="108"/>
      <c r="B72" s="105"/>
      <c r="C72" s="13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</row>
    <row r="73" spans="1:16" x14ac:dyDescent="0.25">
      <c r="A73" s="108"/>
      <c r="B73" s="105"/>
      <c r="C73" s="13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</row>
    <row r="74" spans="1:16" x14ac:dyDescent="0.25">
      <c r="A74" s="108"/>
      <c r="B74" s="105"/>
      <c r="C74" s="13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</row>
    <row r="75" spans="1:16" x14ac:dyDescent="0.25">
      <c r="A75" s="108"/>
      <c r="B75" s="105"/>
      <c r="C75" s="13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</row>
    <row r="76" spans="1:16" x14ac:dyDescent="0.25">
      <c r="A76" s="108"/>
      <c r="B76" s="105"/>
      <c r="C76" s="13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</row>
    <row r="77" spans="1:16" x14ac:dyDescent="0.25">
      <c r="A77" s="108"/>
      <c r="B77" s="105"/>
      <c r="C77" s="13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</row>
    <row r="78" spans="1:16" x14ac:dyDescent="0.25">
      <c r="A78" s="108"/>
      <c r="B78" s="105"/>
      <c r="C78" s="13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</row>
    <row r="79" spans="1:16" x14ac:dyDescent="0.25">
      <c r="A79" s="108"/>
      <c r="B79" s="105"/>
      <c r="C79" s="13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</row>
    <row r="80" spans="1:16" x14ac:dyDescent="0.25">
      <c r="A80" s="108"/>
      <c r="B80" s="105"/>
      <c r="C80" s="13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</row>
    <row r="81" spans="1:16" x14ac:dyDescent="0.25">
      <c r="A81" s="108"/>
      <c r="B81" s="105"/>
      <c r="C81" s="13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</row>
    <row r="82" spans="1:16" x14ac:dyDescent="0.25">
      <c r="A82" s="108"/>
      <c r="B82" s="105"/>
      <c r="C82" s="13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</row>
    <row r="83" spans="1:16" x14ac:dyDescent="0.25">
      <c r="A83" s="108"/>
      <c r="B83" s="105"/>
      <c r="C83" s="13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</row>
    <row r="84" spans="1:16" x14ac:dyDescent="0.25">
      <c r="A84" s="108"/>
      <c r="B84" s="105"/>
      <c r="C84" s="13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</row>
    <row r="85" spans="1:16" x14ac:dyDescent="0.25">
      <c r="A85" s="108"/>
      <c r="B85" s="105"/>
      <c r="C85" s="13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</row>
    <row r="86" spans="1:16" x14ac:dyDescent="0.25">
      <c r="A86" s="108"/>
      <c r="B86" s="105"/>
      <c r="C86" s="13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</row>
    <row r="87" spans="1:16" x14ac:dyDescent="0.25">
      <c r="A87" s="108"/>
      <c r="B87" s="105"/>
      <c r="C87" s="13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</row>
    <row r="88" spans="1:16" x14ac:dyDescent="0.25">
      <c r="A88" s="108"/>
      <c r="B88" s="105"/>
      <c r="C88" s="13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</row>
    <row r="89" spans="1:16" x14ac:dyDescent="0.25">
      <c r="A89" s="92"/>
      <c r="B89" s="51"/>
      <c r="C89" s="94"/>
      <c r="D89" s="94"/>
      <c r="E89" s="94"/>
      <c r="F89" s="152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1:16" x14ac:dyDescent="0.25">
      <c r="A90" s="92"/>
      <c r="B90" s="51"/>
      <c r="C90" s="94"/>
      <c r="D90" s="94"/>
      <c r="E90" s="94"/>
      <c r="F90" s="152"/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spans="1:16" x14ac:dyDescent="0.25">
      <c r="A91" s="92"/>
      <c r="B91" s="51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1:16" ht="15.6" x14ac:dyDescent="0.3">
      <c r="A92" s="92"/>
      <c r="B92" s="51"/>
      <c r="C92" s="106"/>
      <c r="D92" s="106"/>
      <c r="E92" s="106"/>
      <c r="F92" s="106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1:16" ht="15.6" x14ac:dyDescent="0.3">
      <c r="A93" s="122"/>
      <c r="B93" s="51"/>
      <c r="C93" s="106"/>
      <c r="D93" s="106"/>
      <c r="E93" s="106"/>
      <c r="F93" s="106"/>
      <c r="G93" s="106"/>
      <c r="H93" s="94"/>
      <c r="I93" s="94"/>
      <c r="J93" s="94"/>
      <c r="K93" s="94"/>
      <c r="L93" s="94"/>
      <c r="M93" s="94"/>
      <c r="N93" s="94"/>
      <c r="O93" s="94"/>
      <c r="P93" s="94"/>
    </row>
    <row r="94" spans="1:16" ht="15.6" x14ac:dyDescent="0.3">
      <c r="A94" s="310"/>
      <c r="B94" s="51"/>
      <c r="C94" s="311"/>
      <c r="D94" s="311"/>
      <c r="E94" s="311"/>
      <c r="F94" s="311"/>
      <c r="G94" s="311"/>
      <c r="H94" s="94"/>
      <c r="I94" s="94"/>
      <c r="J94" s="94"/>
      <c r="K94" s="94"/>
      <c r="L94" s="94"/>
      <c r="M94" s="94"/>
      <c r="N94" s="94"/>
      <c r="O94" s="94"/>
      <c r="P94" s="94"/>
    </row>
    <row r="95" spans="1:16" ht="15.6" x14ac:dyDescent="0.3">
      <c r="A95" s="92"/>
      <c r="B95" s="51"/>
      <c r="C95" s="106"/>
      <c r="D95" s="106"/>
      <c r="E95" s="106"/>
      <c r="F95" s="106"/>
      <c r="G95" s="106"/>
      <c r="H95" s="94"/>
      <c r="I95" s="94"/>
      <c r="J95" s="94"/>
      <c r="K95" s="94"/>
      <c r="L95" s="94"/>
      <c r="M95" s="94"/>
      <c r="N95" s="94"/>
      <c r="O95" s="94"/>
      <c r="P95" s="94"/>
    </row>
    <row r="96" spans="1:16" ht="15.6" x14ac:dyDescent="0.3">
      <c r="A96" s="92"/>
      <c r="B96" s="51"/>
      <c r="C96" s="352"/>
      <c r="D96" s="102"/>
      <c r="E96" s="102"/>
      <c r="F96" s="352"/>
      <c r="G96" s="102"/>
      <c r="H96" s="94"/>
      <c r="I96" s="94"/>
      <c r="J96" s="94"/>
      <c r="K96" s="94"/>
      <c r="L96" s="94"/>
      <c r="M96" s="94"/>
      <c r="N96" s="94"/>
      <c r="O96" s="94"/>
      <c r="P96" s="94"/>
    </row>
    <row r="97" spans="1:16" ht="15.6" x14ac:dyDescent="0.3">
      <c r="A97" s="92"/>
      <c r="B97" s="50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</row>
    <row r="98" spans="1:16" x14ac:dyDescent="0.25">
      <c r="A98" s="92"/>
      <c r="B98" s="51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spans="1:16" ht="15.6" x14ac:dyDescent="0.3">
      <c r="B99" s="47"/>
      <c r="C99" s="83"/>
      <c r="D99" s="83"/>
      <c r="E99" s="83"/>
      <c r="F99" s="84"/>
      <c r="G99" s="83"/>
    </row>
    <row r="100" spans="1:16" x14ac:dyDescent="0.25">
      <c r="C100" s="83"/>
      <c r="D100" s="83"/>
      <c r="E100" s="172"/>
      <c r="G100" s="83"/>
    </row>
    <row r="101" spans="1:16" ht="15.6" x14ac:dyDescent="0.3">
      <c r="B101" s="47"/>
      <c r="E101" s="173"/>
    </row>
    <row r="102" spans="1:16" x14ac:dyDescent="0.25">
      <c r="E102" s="173"/>
    </row>
    <row r="103" spans="1:16" ht="15.6" x14ac:dyDescent="0.3">
      <c r="B103" s="47"/>
      <c r="C103" s="83"/>
      <c r="D103" s="83"/>
      <c r="E103" s="83"/>
      <c r="F103" s="84"/>
      <c r="G103" s="83"/>
    </row>
    <row r="105" spans="1:16" ht="15.6" x14ac:dyDescent="0.3">
      <c r="B105" s="47"/>
      <c r="C105" s="84"/>
      <c r="D105" s="83"/>
      <c r="E105" s="84"/>
      <c r="F105" s="84"/>
      <c r="G105" s="83"/>
    </row>
    <row r="107" spans="1:16" ht="15.6" x14ac:dyDescent="0.3">
      <c r="B107" s="47"/>
      <c r="C107" s="84"/>
      <c r="D107" s="83"/>
      <c r="E107" s="84"/>
      <c r="F107" s="84"/>
      <c r="G107" s="83"/>
    </row>
    <row r="109" spans="1:16" ht="15.6" x14ac:dyDescent="0.3">
      <c r="B109" s="47"/>
    </row>
    <row r="111" spans="1:16" ht="15.6" x14ac:dyDescent="0.3">
      <c r="B111" s="47"/>
      <c r="C111" s="84"/>
      <c r="D111" s="83"/>
      <c r="E111" s="84"/>
      <c r="F111" s="113"/>
      <c r="G111" s="83"/>
    </row>
    <row r="113" spans="2:7" ht="15.6" x14ac:dyDescent="0.3">
      <c r="B113" s="47"/>
      <c r="C113" s="84"/>
      <c r="D113" s="83"/>
      <c r="E113" s="84"/>
      <c r="F113" s="113"/>
      <c r="G113" s="83"/>
    </row>
    <row r="115" spans="2:7" ht="15.6" x14ac:dyDescent="0.3">
      <c r="B115" s="47"/>
      <c r="C115" s="84"/>
      <c r="D115" s="83"/>
      <c r="E115" s="84"/>
      <c r="F115" s="113"/>
      <c r="G115" s="83"/>
    </row>
    <row r="117" spans="2:7" ht="15.6" x14ac:dyDescent="0.3">
      <c r="B117" s="47"/>
      <c r="C117" s="84"/>
      <c r="D117" s="83"/>
      <c r="E117" s="84"/>
      <c r="F117" s="84"/>
      <c r="G117" s="83"/>
    </row>
    <row r="119" spans="2:7" ht="15.6" x14ac:dyDescent="0.3">
      <c r="B119" s="47"/>
      <c r="C119" s="174"/>
      <c r="D119" s="110"/>
      <c r="E119" s="174"/>
      <c r="F119" s="112"/>
      <c r="G119" s="110"/>
    </row>
    <row r="121" spans="2:7" x14ac:dyDescent="0.25">
      <c r="C121" s="83"/>
      <c r="D121" s="83"/>
      <c r="E121" s="83"/>
      <c r="F121" s="83"/>
      <c r="G121" s="83"/>
    </row>
    <row r="129" spans="1:8" ht="15.6" x14ac:dyDescent="0.3">
      <c r="C129" s="76"/>
      <c r="H129" s="111"/>
    </row>
    <row r="130" spans="1:8" ht="15.6" x14ac:dyDescent="0.3">
      <c r="C130" s="175"/>
    </row>
    <row r="134" spans="1:8" ht="15.6" x14ac:dyDescent="0.3">
      <c r="C134" s="75"/>
      <c r="D134" s="75"/>
      <c r="E134" s="75"/>
      <c r="F134" s="75"/>
      <c r="G134" s="76"/>
    </row>
    <row r="135" spans="1:8" ht="15.6" x14ac:dyDescent="0.3">
      <c r="A135" s="45"/>
      <c r="C135" s="75"/>
      <c r="D135" s="75"/>
      <c r="E135" s="75"/>
      <c r="F135" s="75"/>
      <c r="G135" s="75"/>
    </row>
    <row r="136" spans="1:8" ht="15.6" x14ac:dyDescent="0.3">
      <c r="A136" s="55"/>
      <c r="C136" s="77"/>
      <c r="D136" s="77"/>
      <c r="E136" s="77"/>
      <c r="F136" s="77"/>
      <c r="G136" s="77"/>
    </row>
    <row r="137" spans="1:8" ht="15.6" x14ac:dyDescent="0.3">
      <c r="C137" s="75"/>
      <c r="D137" s="75"/>
      <c r="E137" s="75"/>
      <c r="F137" s="75"/>
      <c r="G137" s="75"/>
    </row>
    <row r="138" spans="1:8" ht="15.6" x14ac:dyDescent="0.3">
      <c r="C138" s="75"/>
      <c r="D138" s="75"/>
      <c r="E138" s="75"/>
      <c r="F138" s="75"/>
      <c r="G138" s="75"/>
    </row>
    <row r="139" spans="1:8" ht="15.6" x14ac:dyDescent="0.3">
      <c r="B139" s="47"/>
      <c r="C139" s="116"/>
      <c r="D139" s="76"/>
      <c r="E139" s="76"/>
      <c r="F139" s="116"/>
    </row>
    <row r="141" spans="1:8" ht="15.6" x14ac:dyDescent="0.3">
      <c r="B141" s="47"/>
      <c r="C141" s="79"/>
      <c r="D141" s="79"/>
      <c r="E141" s="79"/>
      <c r="G141" s="79"/>
    </row>
    <row r="142" spans="1:8" x14ac:dyDescent="0.25">
      <c r="C142" s="79"/>
      <c r="D142" s="79"/>
      <c r="E142" s="79"/>
      <c r="F142" s="81"/>
      <c r="G142" s="79"/>
    </row>
    <row r="143" spans="1:8" x14ac:dyDescent="0.25">
      <c r="C143" s="79"/>
      <c r="D143" s="79"/>
      <c r="E143" s="79"/>
      <c r="F143" s="81"/>
      <c r="G143" s="79"/>
    </row>
    <row r="144" spans="1:8" x14ac:dyDescent="0.25">
      <c r="C144" s="96"/>
      <c r="D144" s="82"/>
      <c r="E144" s="118"/>
      <c r="F144" s="118"/>
      <c r="G144" s="82"/>
    </row>
    <row r="145" spans="2:7" x14ac:dyDescent="0.25">
      <c r="C145" s="79"/>
      <c r="D145" s="79"/>
      <c r="E145" s="79"/>
      <c r="F145" s="79"/>
      <c r="G145" s="79"/>
    </row>
    <row r="146" spans="2:7" x14ac:dyDescent="0.25">
      <c r="C146" s="79"/>
      <c r="D146" s="79"/>
      <c r="E146" s="79"/>
      <c r="F146" s="79"/>
      <c r="G146" s="79"/>
    </row>
    <row r="147" spans="2:7" ht="15.6" x14ac:dyDescent="0.3">
      <c r="B147" s="45"/>
      <c r="C147" s="79"/>
      <c r="D147" s="79"/>
      <c r="E147" s="79"/>
      <c r="F147" s="79"/>
      <c r="G147" s="79"/>
    </row>
    <row r="148" spans="2:7" x14ac:dyDescent="0.25">
      <c r="C148" s="79"/>
      <c r="D148" s="79"/>
      <c r="E148" s="79"/>
      <c r="F148" s="79"/>
      <c r="G148" s="79"/>
    </row>
    <row r="149" spans="2:7" ht="15.6" x14ac:dyDescent="0.3">
      <c r="B149" s="47"/>
      <c r="C149" s="79"/>
      <c r="D149" s="79"/>
      <c r="E149" s="79"/>
      <c r="F149" s="79"/>
      <c r="G149" s="79"/>
    </row>
    <row r="150" spans="2:7" x14ac:dyDescent="0.25">
      <c r="C150" s="79"/>
      <c r="D150" s="79"/>
      <c r="E150" s="79"/>
      <c r="F150" s="79"/>
      <c r="G150" s="79"/>
    </row>
    <row r="151" spans="2:7" x14ac:dyDescent="0.25">
      <c r="C151" s="79"/>
      <c r="D151" s="79"/>
      <c r="E151" s="79"/>
      <c r="F151" s="81"/>
      <c r="G151" s="79"/>
    </row>
    <row r="152" spans="2:7" x14ac:dyDescent="0.25">
      <c r="C152" s="79"/>
      <c r="D152" s="79"/>
      <c r="E152" s="79"/>
      <c r="F152" s="81"/>
      <c r="G152" s="79"/>
    </row>
    <row r="153" spans="2:7" x14ac:dyDescent="0.25">
      <c r="C153" s="81"/>
      <c r="D153" s="79"/>
      <c r="E153" s="81"/>
      <c r="F153" s="81"/>
      <c r="G153" s="79"/>
    </row>
    <row r="154" spans="2:7" x14ac:dyDescent="0.25">
      <c r="C154" s="81"/>
      <c r="D154" s="79"/>
      <c r="E154" s="81"/>
      <c r="F154" s="81"/>
      <c r="G154" s="79"/>
    </row>
    <row r="155" spans="2:7" x14ac:dyDescent="0.25">
      <c r="C155" s="118"/>
      <c r="D155" s="82"/>
      <c r="E155" s="118"/>
      <c r="F155" s="119"/>
      <c r="G155" s="82"/>
    </row>
    <row r="156" spans="2:7" x14ac:dyDescent="0.25">
      <c r="C156" s="79"/>
      <c r="D156" s="79"/>
      <c r="E156" s="79"/>
      <c r="F156" s="79"/>
      <c r="G156" s="79"/>
    </row>
    <row r="157" spans="2:7" x14ac:dyDescent="0.25">
      <c r="C157" s="79"/>
      <c r="D157" s="79"/>
      <c r="E157" s="79"/>
      <c r="F157" s="79"/>
      <c r="G157" s="79"/>
    </row>
    <row r="158" spans="2:7" ht="15.6" x14ac:dyDescent="0.3">
      <c r="B158" s="47"/>
      <c r="C158" s="79"/>
      <c r="D158" s="79"/>
      <c r="E158" s="79"/>
      <c r="F158" s="79"/>
      <c r="G158" s="79"/>
    </row>
    <row r="159" spans="2:7" x14ac:dyDescent="0.25">
      <c r="C159" s="79"/>
      <c r="D159" s="79"/>
      <c r="E159" s="79"/>
      <c r="F159" s="79"/>
      <c r="G159" s="79"/>
    </row>
    <row r="160" spans="2:7" x14ac:dyDescent="0.25">
      <c r="C160" s="81"/>
      <c r="D160" s="79"/>
      <c r="E160" s="81"/>
      <c r="F160" s="81"/>
      <c r="G160" s="79"/>
    </row>
    <row r="161" spans="2:7" x14ac:dyDescent="0.25">
      <c r="C161" s="81"/>
      <c r="D161" s="79"/>
      <c r="E161" s="81"/>
      <c r="F161" s="81"/>
      <c r="G161" s="79"/>
    </row>
    <row r="162" spans="2:7" x14ac:dyDescent="0.25">
      <c r="C162" s="81"/>
      <c r="D162" s="79"/>
      <c r="E162" s="81"/>
      <c r="F162" s="81"/>
      <c r="G162" s="79"/>
    </row>
    <row r="163" spans="2:7" x14ac:dyDescent="0.25">
      <c r="C163" s="118"/>
      <c r="D163" s="82"/>
      <c r="E163" s="118"/>
      <c r="F163" s="118"/>
      <c r="G163" s="82"/>
    </row>
    <row r="164" spans="2:7" x14ac:dyDescent="0.25">
      <c r="C164" s="79"/>
      <c r="D164" s="79"/>
      <c r="E164" s="79"/>
      <c r="F164" s="79"/>
      <c r="G164" s="79"/>
    </row>
    <row r="166" spans="2:7" ht="15.6" x14ac:dyDescent="0.3">
      <c r="B166" s="47"/>
      <c r="C166" s="79"/>
      <c r="D166" s="79"/>
      <c r="E166" s="79"/>
      <c r="F166" s="79"/>
      <c r="G166" s="79"/>
    </row>
    <row r="167" spans="2:7" x14ac:dyDescent="0.25">
      <c r="C167" s="79"/>
      <c r="D167" s="79"/>
      <c r="E167" s="79"/>
      <c r="F167" s="79"/>
      <c r="G167" s="79"/>
    </row>
    <row r="168" spans="2:7" x14ac:dyDescent="0.25">
      <c r="C168" s="81"/>
      <c r="D168" s="79"/>
      <c r="E168" s="81"/>
      <c r="F168" s="81"/>
      <c r="G168" s="79"/>
    </row>
    <row r="169" spans="2:7" x14ac:dyDescent="0.25">
      <c r="C169" s="81"/>
      <c r="D169" s="79"/>
      <c r="E169" s="81"/>
      <c r="F169" s="81"/>
      <c r="G169" s="79"/>
    </row>
    <row r="170" spans="2:7" x14ac:dyDescent="0.25">
      <c r="C170" s="81"/>
      <c r="D170" s="79"/>
      <c r="E170" s="81"/>
      <c r="F170" s="81"/>
      <c r="G170" s="79"/>
    </row>
    <row r="171" spans="2:7" x14ac:dyDescent="0.25">
      <c r="C171" s="118"/>
      <c r="D171" s="82"/>
      <c r="E171" s="118"/>
      <c r="F171" s="118"/>
      <c r="G171" s="82"/>
    </row>
    <row r="172" spans="2:7" x14ac:dyDescent="0.25">
      <c r="C172" s="79"/>
      <c r="D172" s="79"/>
      <c r="E172" s="79"/>
      <c r="F172" s="79"/>
      <c r="G172" s="79"/>
    </row>
    <row r="173" spans="2:7" x14ac:dyDescent="0.25">
      <c r="C173" s="112"/>
      <c r="D173" s="110"/>
      <c r="E173" s="112"/>
      <c r="F173" s="112"/>
      <c r="G173" s="110"/>
    </row>
    <row r="174" spans="2:7" x14ac:dyDescent="0.25">
      <c r="C174" s="112"/>
      <c r="D174" s="110"/>
      <c r="E174" s="112"/>
      <c r="F174" s="112"/>
      <c r="G174" s="110"/>
    </row>
    <row r="175" spans="2:7" x14ac:dyDescent="0.25">
      <c r="C175" s="112"/>
      <c r="D175" s="110"/>
      <c r="E175" s="112"/>
      <c r="F175" s="112"/>
      <c r="G175" s="110"/>
    </row>
    <row r="176" spans="2:7" x14ac:dyDescent="0.25">
      <c r="C176" s="112"/>
      <c r="D176" s="110"/>
      <c r="E176" s="112"/>
      <c r="F176" s="112"/>
      <c r="G176" s="110"/>
    </row>
    <row r="177" spans="1:8" x14ac:dyDescent="0.25">
      <c r="C177" s="112"/>
      <c r="D177" s="110"/>
      <c r="E177" s="112"/>
      <c r="F177" s="112"/>
      <c r="G177" s="110"/>
    </row>
    <row r="178" spans="1:8" x14ac:dyDescent="0.25">
      <c r="C178" s="112"/>
      <c r="D178" s="110"/>
      <c r="E178" s="112"/>
      <c r="F178" s="112"/>
      <c r="G178" s="110"/>
    </row>
    <row r="179" spans="1:8" x14ac:dyDescent="0.25">
      <c r="C179" s="112"/>
      <c r="D179" s="110"/>
      <c r="E179" s="112"/>
      <c r="F179" s="112"/>
      <c r="G179" s="110"/>
    </row>
    <row r="180" spans="1:8" x14ac:dyDescent="0.25">
      <c r="C180" s="112"/>
      <c r="D180" s="110"/>
      <c r="E180" s="112"/>
      <c r="F180" s="112"/>
      <c r="G180" s="110"/>
    </row>
    <row r="181" spans="1:8" x14ac:dyDescent="0.25">
      <c r="C181" s="112"/>
      <c r="D181" s="110"/>
      <c r="E181" s="112"/>
      <c r="F181" s="112"/>
      <c r="G181" s="110"/>
    </row>
    <row r="182" spans="1:8" x14ac:dyDescent="0.25">
      <c r="C182" s="112"/>
      <c r="D182" s="110"/>
      <c r="E182" s="112"/>
      <c r="F182" s="112"/>
      <c r="G182" s="110"/>
    </row>
    <row r="183" spans="1:8" x14ac:dyDescent="0.25">
      <c r="C183" s="83"/>
      <c r="D183" s="83"/>
      <c r="E183" s="83"/>
      <c r="F183" s="83"/>
      <c r="G183" s="83"/>
    </row>
    <row r="184" spans="1:8" ht="15.6" x14ac:dyDescent="0.3">
      <c r="C184" s="76"/>
      <c r="H184" s="111"/>
    </row>
    <row r="185" spans="1:8" ht="15.6" x14ac:dyDescent="0.3">
      <c r="C185" s="135"/>
    </row>
    <row r="187" spans="1:8" ht="15.6" x14ac:dyDescent="0.3">
      <c r="C187" s="75"/>
      <c r="D187" s="75"/>
      <c r="E187" s="75"/>
      <c r="F187" s="75"/>
      <c r="G187" s="76"/>
    </row>
    <row r="188" spans="1:8" ht="15.6" x14ac:dyDescent="0.3">
      <c r="A188" s="45"/>
      <c r="C188" s="75"/>
      <c r="D188" s="75"/>
      <c r="E188" s="75"/>
      <c r="F188" s="75"/>
      <c r="G188" s="75"/>
    </row>
    <row r="189" spans="1:8" ht="15.6" x14ac:dyDescent="0.3">
      <c r="A189" s="55"/>
      <c r="C189" s="77"/>
      <c r="D189" s="77"/>
      <c r="E189" s="77"/>
      <c r="F189" s="77"/>
      <c r="G189" s="77"/>
    </row>
    <row r="190" spans="1:8" ht="15.6" x14ac:dyDescent="0.3">
      <c r="C190" s="75"/>
      <c r="D190" s="75"/>
      <c r="E190" s="75"/>
      <c r="F190" s="75"/>
      <c r="G190" s="75"/>
    </row>
    <row r="191" spans="1:8" ht="15.6" x14ac:dyDescent="0.3">
      <c r="C191" s="75"/>
      <c r="D191" s="75"/>
      <c r="E191" s="75"/>
      <c r="F191" s="75"/>
      <c r="G191" s="75"/>
    </row>
    <row r="192" spans="1:8" ht="15.6" x14ac:dyDescent="0.3">
      <c r="C192" s="116"/>
      <c r="D192" s="76"/>
      <c r="E192" s="76"/>
      <c r="F192" s="116"/>
    </row>
    <row r="193" spans="2:7" ht="15.6" x14ac:dyDescent="0.3">
      <c r="B193" s="47"/>
    </row>
    <row r="195" spans="2:7" ht="15.6" x14ac:dyDescent="0.3">
      <c r="B195" s="47"/>
      <c r="C195" s="83"/>
      <c r="D195" s="83"/>
      <c r="E195" s="83"/>
      <c r="G195" s="83"/>
    </row>
    <row r="197" spans="2:7" x14ac:dyDescent="0.25">
      <c r="C197" s="81"/>
      <c r="D197" s="79"/>
      <c r="E197" s="81"/>
      <c r="F197" s="87"/>
      <c r="G197" s="79"/>
    </row>
    <row r="198" spans="2:7" x14ac:dyDescent="0.25">
      <c r="C198" s="81"/>
      <c r="D198" s="79"/>
      <c r="E198" s="81"/>
      <c r="F198" s="87"/>
      <c r="G198" s="79"/>
    </row>
    <row r="199" spans="2:7" x14ac:dyDescent="0.25">
      <c r="C199" s="81"/>
      <c r="D199" s="79"/>
      <c r="E199" s="81"/>
      <c r="F199" s="87"/>
      <c r="G199" s="79"/>
    </row>
    <row r="200" spans="2:7" x14ac:dyDescent="0.25">
      <c r="C200" s="81"/>
      <c r="D200" s="79"/>
      <c r="E200" s="81"/>
      <c r="F200" s="87"/>
      <c r="G200" s="79"/>
    </row>
    <row r="201" spans="2:7" x14ac:dyDescent="0.25">
      <c r="C201" s="118"/>
      <c r="D201" s="82"/>
      <c r="E201" s="118"/>
      <c r="F201" s="96"/>
      <c r="G201" s="82"/>
    </row>
    <row r="202" spans="2:7" x14ac:dyDescent="0.25">
      <c r="C202" s="79"/>
      <c r="D202" s="79"/>
      <c r="E202" s="79"/>
      <c r="F202" s="79"/>
      <c r="G202" s="79"/>
    </row>
    <row r="204" spans="2:7" ht="15.6" x14ac:dyDescent="0.3">
      <c r="B204" s="47"/>
      <c r="C204" s="79"/>
      <c r="D204" s="79"/>
      <c r="E204" s="79"/>
      <c r="F204" s="79"/>
      <c r="G204" s="79"/>
    </row>
    <row r="206" spans="2:7" x14ac:dyDescent="0.25">
      <c r="C206" s="81"/>
      <c r="D206" s="79"/>
      <c r="E206" s="81"/>
      <c r="F206" s="87"/>
      <c r="G206" s="79"/>
    </row>
    <row r="207" spans="2:7" x14ac:dyDescent="0.25">
      <c r="C207" s="81"/>
      <c r="D207" s="79"/>
      <c r="E207" s="81"/>
      <c r="F207" s="87"/>
      <c r="G207" s="79"/>
    </row>
    <row r="208" spans="2:7" x14ac:dyDescent="0.25">
      <c r="C208" s="81"/>
      <c r="D208" s="79"/>
      <c r="E208" s="81"/>
      <c r="F208" s="87"/>
      <c r="G208" s="79"/>
    </row>
    <row r="209" spans="2:7" x14ac:dyDescent="0.25">
      <c r="C209" s="118"/>
      <c r="D209" s="82"/>
      <c r="E209" s="118"/>
      <c r="F209" s="96"/>
      <c r="G209" s="82"/>
    </row>
    <row r="210" spans="2:7" x14ac:dyDescent="0.25">
      <c r="C210" s="79"/>
      <c r="D210" s="79"/>
      <c r="E210" s="79"/>
      <c r="F210" s="79"/>
      <c r="G210" s="79"/>
    </row>
    <row r="211" spans="2:7" x14ac:dyDescent="0.25">
      <c r="C211" s="79"/>
      <c r="D211" s="79"/>
      <c r="E211" s="79"/>
      <c r="F211" s="79"/>
      <c r="G211" s="79"/>
    </row>
    <row r="212" spans="2:7" ht="15.6" x14ac:dyDescent="0.3">
      <c r="B212" s="47"/>
      <c r="C212" s="79"/>
      <c r="D212" s="79"/>
      <c r="E212" s="79"/>
      <c r="F212" s="79"/>
      <c r="G212" s="79"/>
    </row>
    <row r="214" spans="2:7" x14ac:dyDescent="0.25">
      <c r="C214" s="81"/>
      <c r="D214" s="79"/>
      <c r="E214" s="81"/>
      <c r="F214" s="79"/>
      <c r="G214" s="79"/>
    </row>
    <row r="215" spans="2:7" x14ac:dyDescent="0.25">
      <c r="C215" s="81"/>
      <c r="D215" s="79"/>
      <c r="E215" s="81"/>
      <c r="F215" s="79"/>
      <c r="G215" s="79"/>
    </row>
    <row r="216" spans="2:7" x14ac:dyDescent="0.25">
      <c r="C216" s="81"/>
      <c r="D216" s="79"/>
      <c r="E216" s="81"/>
      <c r="F216" s="79"/>
      <c r="G216" s="79"/>
    </row>
    <row r="217" spans="2:7" x14ac:dyDescent="0.25">
      <c r="C217" s="118"/>
      <c r="D217" s="82"/>
      <c r="E217" s="118"/>
      <c r="F217" s="82"/>
      <c r="G217" s="82"/>
    </row>
    <row r="218" spans="2:7" x14ac:dyDescent="0.25">
      <c r="C218" s="79"/>
      <c r="D218" s="79"/>
      <c r="E218" s="79"/>
      <c r="F218" s="79"/>
      <c r="G218" s="79"/>
    </row>
    <row r="220" spans="2:7" ht="15.6" x14ac:dyDescent="0.3">
      <c r="B220" s="47"/>
      <c r="C220" s="79"/>
      <c r="D220" s="79"/>
      <c r="E220" s="79"/>
      <c r="F220" s="79"/>
      <c r="G220" s="79"/>
    </row>
    <row r="222" spans="2:7" x14ac:dyDescent="0.25">
      <c r="C222" s="81"/>
      <c r="D222" s="79"/>
      <c r="E222" s="81"/>
      <c r="F222" s="81"/>
      <c r="G222" s="79"/>
    </row>
    <row r="223" spans="2:7" x14ac:dyDescent="0.25">
      <c r="C223" s="81"/>
      <c r="D223" s="79"/>
      <c r="E223" s="81"/>
      <c r="F223" s="81"/>
      <c r="G223" s="79"/>
    </row>
    <row r="224" spans="2:7" x14ac:dyDescent="0.25">
      <c r="C224" s="81"/>
      <c r="D224" s="79"/>
      <c r="E224" s="81"/>
      <c r="F224" s="81"/>
      <c r="G224" s="79"/>
    </row>
    <row r="225" spans="2:7" x14ac:dyDescent="0.25">
      <c r="C225" s="118"/>
      <c r="D225" s="82"/>
      <c r="E225" s="118"/>
      <c r="F225" s="118"/>
      <c r="G225" s="82"/>
    </row>
    <row r="226" spans="2:7" x14ac:dyDescent="0.25">
      <c r="C226" s="79"/>
      <c r="D226" s="79"/>
      <c r="E226" s="79"/>
      <c r="F226" s="79"/>
      <c r="G226" s="79"/>
    </row>
    <row r="227" spans="2:7" x14ac:dyDescent="0.25">
      <c r="C227" s="79"/>
      <c r="D227" s="79"/>
      <c r="E227" s="79"/>
      <c r="F227" s="79"/>
      <c r="G227" s="79"/>
    </row>
    <row r="228" spans="2:7" ht="15.6" x14ac:dyDescent="0.3">
      <c r="B228" s="47"/>
      <c r="C228" s="79"/>
      <c r="D228" s="79"/>
      <c r="E228" s="79"/>
      <c r="F228" s="79"/>
      <c r="G228" s="79"/>
    </row>
    <row r="230" spans="2:7" x14ac:dyDescent="0.25">
      <c r="C230" s="81"/>
      <c r="D230" s="79"/>
      <c r="E230" s="81"/>
      <c r="F230" s="87"/>
      <c r="G230" s="79"/>
    </row>
  </sheetData>
  <mergeCells count="3">
    <mergeCell ref="A3:P3"/>
    <mergeCell ref="A2:P2"/>
    <mergeCell ref="A1:P1"/>
  </mergeCells>
  <phoneticPr fontId="0" type="noConversion"/>
  <printOptions horizontalCentered="1"/>
  <pageMargins left="1" right="1" top="1" bottom="1" header="0.5" footer="0.5"/>
  <pageSetup scale="33" orientation="portrait" r:id="rId1"/>
  <headerFooter alignWithMargins="0">
    <oddHeader>&amp;RKY PSC Case No. 2016-0016
Attachment A to PSC 3-3(b)</oddHeader>
  </headerFooter>
  <rowBreaks count="3" manualBreakCount="3">
    <brk id="70" max="15" man="1"/>
    <brk id="72" max="15" man="1"/>
    <brk id="12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5">
    <pageSetUpPr fitToPage="1"/>
  </sheetPr>
  <dimension ref="A1:S244"/>
  <sheetViews>
    <sheetView topLeftCell="B46" zoomScale="70" zoomScaleNormal="70" zoomScaleSheetLayoutView="90" workbookViewId="0">
      <selection activeCell="P61" sqref="P61"/>
    </sheetView>
  </sheetViews>
  <sheetFormatPr defaultColWidth="10" defaultRowHeight="13.8" x14ac:dyDescent="0.25"/>
  <cols>
    <col min="1" max="1" width="6.6640625" style="353" customWidth="1"/>
    <col min="2" max="2" width="30.33203125" style="353" customWidth="1"/>
    <col min="3" max="3" width="16.33203125" style="353" customWidth="1"/>
    <col min="4" max="4" width="14.1640625" style="353" customWidth="1"/>
    <col min="5" max="5" width="11.33203125" style="353" customWidth="1"/>
    <col min="6" max="10" width="19.33203125" style="353" bestFit="1" customWidth="1"/>
    <col min="11" max="16" width="17" style="353" bestFit="1" customWidth="1"/>
    <col min="17" max="17" width="19.33203125" style="353" bestFit="1" customWidth="1"/>
    <col min="18" max="18" width="21.83203125" style="353" customWidth="1"/>
    <col min="19" max="19" width="34" style="353" customWidth="1"/>
    <col min="20" max="20" width="10" style="353"/>
    <col min="21" max="22" width="2.33203125" style="353" customWidth="1"/>
    <col min="23" max="16384" width="10" style="353"/>
  </cols>
  <sheetData>
    <row r="1" spans="1:19" x14ac:dyDescent="0.25">
      <c r="A1" s="988" t="str">
        <f>CONAME</f>
        <v>Columbia Gas of Kentucky, Inc.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</row>
    <row r="2" spans="1:19" x14ac:dyDescent="0.25">
      <c r="A2" s="988" t="s">
        <v>199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</row>
    <row r="3" spans="1:19" x14ac:dyDescent="0.25">
      <c r="A3" s="988" t="str">
        <f>TYDESC</f>
        <v>For the 12 Months Ended December 31, 2017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19" x14ac:dyDescent="0.25"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</row>
    <row r="5" spans="1:19" x14ac:dyDescent="0.25"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R5" s="355" t="str">
        <f>'D pg 1'!$P$7</f>
        <v>Workpaper WPM-D.2</v>
      </c>
    </row>
    <row r="6" spans="1:19" x14ac:dyDescent="0.25">
      <c r="A6" s="356"/>
      <c r="B6" s="356"/>
      <c r="C6" s="356"/>
      <c r="D6" s="357" t="s">
        <v>29</v>
      </c>
      <c r="E6" s="356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9" t="s">
        <v>490</v>
      </c>
      <c r="S6" s="358"/>
    </row>
    <row r="7" spans="1:19" x14ac:dyDescent="0.25">
      <c r="A7" s="356"/>
      <c r="B7" s="356"/>
      <c r="C7" s="356"/>
      <c r="D7" s="357" t="s">
        <v>31</v>
      </c>
      <c r="E7" s="356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</row>
    <row r="8" spans="1:19" x14ac:dyDescent="0.25">
      <c r="A8" s="357" t="s">
        <v>1</v>
      </c>
      <c r="B8" s="356"/>
      <c r="C8" s="357" t="s">
        <v>0</v>
      </c>
      <c r="D8" s="357" t="s">
        <v>32</v>
      </c>
      <c r="E8" s="360" t="s">
        <v>27</v>
      </c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</row>
    <row r="9" spans="1:19" x14ac:dyDescent="0.25">
      <c r="A9" s="361" t="s">
        <v>3</v>
      </c>
      <c r="B9" s="361" t="s">
        <v>33</v>
      </c>
      <c r="C9" s="361" t="s">
        <v>2</v>
      </c>
      <c r="D9" s="361" t="s">
        <v>34</v>
      </c>
      <c r="E9" s="361" t="s">
        <v>25</v>
      </c>
      <c r="F9" s="362" t="str">
        <f>B!$D$11</f>
        <v>Jan-17</v>
      </c>
      <c r="G9" s="362" t="str">
        <f>B!$E$11</f>
        <v>Feb-17</v>
      </c>
      <c r="H9" s="362" t="str">
        <f>B!$F$11</f>
        <v>Mar-17</v>
      </c>
      <c r="I9" s="362" t="str">
        <f>B!$G$11</f>
        <v>Apr-17</v>
      </c>
      <c r="J9" s="362" t="str">
        <f>B!$H$11</f>
        <v>May-17</v>
      </c>
      <c r="K9" s="362" t="str">
        <f>B!$I$11</f>
        <v>Jun-17</v>
      </c>
      <c r="L9" s="362" t="str">
        <f>B!$J$11</f>
        <v>Jul-17</v>
      </c>
      <c r="M9" s="362" t="str">
        <f>B!$K$11</f>
        <v>Aug-17</v>
      </c>
      <c r="N9" s="362" t="str">
        <f>B!$L$11</f>
        <v>Sep-17</v>
      </c>
      <c r="O9" s="362" t="str">
        <f>B!$M$11</f>
        <v>Oct-17</v>
      </c>
      <c r="P9" s="362" t="str">
        <f>B!$N$11</f>
        <v>Nov-17</v>
      </c>
      <c r="Q9" s="362" t="str">
        <f>B!$O$11</f>
        <v>Dec-17</v>
      </c>
      <c r="R9" s="361" t="s">
        <v>9</v>
      </c>
      <c r="S9" s="358"/>
    </row>
    <row r="10" spans="1:19" x14ac:dyDescent="0.25">
      <c r="A10" s="356"/>
      <c r="B10" s="356"/>
      <c r="C10" s="356"/>
      <c r="D10" s="356"/>
      <c r="E10" s="356"/>
      <c r="F10" s="363" t="s">
        <v>28</v>
      </c>
      <c r="G10" s="363" t="s">
        <v>28</v>
      </c>
      <c r="H10" s="363" t="s">
        <v>28</v>
      </c>
      <c r="I10" s="363" t="s">
        <v>28</v>
      </c>
      <c r="J10" s="363" t="s">
        <v>28</v>
      </c>
      <c r="K10" s="363" t="s">
        <v>28</v>
      </c>
      <c r="L10" s="363" t="s">
        <v>28</v>
      </c>
      <c r="M10" s="363" t="s">
        <v>28</v>
      </c>
      <c r="N10" s="363" t="s">
        <v>28</v>
      </c>
      <c r="O10" s="363" t="s">
        <v>28</v>
      </c>
      <c r="P10" s="363" t="s">
        <v>28</v>
      </c>
      <c r="Q10" s="363" t="s">
        <v>28</v>
      </c>
      <c r="R10" s="363" t="s">
        <v>28</v>
      </c>
      <c r="S10" s="358"/>
    </row>
    <row r="11" spans="1:19" x14ac:dyDescent="0.25">
      <c r="A11" s="358"/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</row>
    <row r="12" spans="1:19" x14ac:dyDescent="0.25">
      <c r="A12" s="364">
        <v>1</v>
      </c>
      <c r="B12" s="365" t="s">
        <v>473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</row>
    <row r="13" spans="1:19" x14ac:dyDescent="0.25">
      <c r="A13" s="364"/>
      <c r="B13" s="366"/>
      <c r="C13" s="366"/>
      <c r="D13" s="366"/>
      <c r="E13" s="358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8"/>
      <c r="S13" s="358"/>
    </row>
    <row r="14" spans="1:19" x14ac:dyDescent="0.25">
      <c r="A14" s="364">
        <f>A12+1</f>
        <v>2</v>
      </c>
      <c r="B14" s="369" t="s">
        <v>474</v>
      </c>
      <c r="C14" s="366" t="s">
        <v>477</v>
      </c>
      <c r="D14" s="370" t="s">
        <v>475</v>
      </c>
      <c r="E14" s="371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58"/>
    </row>
    <row r="15" spans="1:19" x14ac:dyDescent="0.25">
      <c r="A15" s="364">
        <f>A14+1</f>
        <v>3</v>
      </c>
      <c r="B15" s="372" t="s">
        <v>167</v>
      </c>
      <c r="C15" s="366"/>
      <c r="D15" s="366"/>
      <c r="E15" s="364"/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  <c r="O15" s="367">
        <v>0</v>
      </c>
      <c r="P15" s="367">
        <v>0</v>
      </c>
      <c r="Q15" s="367">
        <v>0</v>
      </c>
      <c r="R15" s="368">
        <f>SUM(F15:Q15)</f>
        <v>0</v>
      </c>
      <c r="S15" s="358"/>
    </row>
    <row r="16" spans="1:19" x14ac:dyDescent="0.25">
      <c r="A16" s="364"/>
      <c r="B16" s="366"/>
      <c r="C16" s="366"/>
      <c r="D16" s="366"/>
      <c r="E16" s="364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58"/>
    </row>
    <row r="17" spans="1:19" x14ac:dyDescent="0.25">
      <c r="A17" s="364">
        <f>A15+1</f>
        <v>4</v>
      </c>
      <c r="B17" s="366" t="s">
        <v>169</v>
      </c>
      <c r="C17" s="366"/>
      <c r="D17" s="366"/>
      <c r="E17" s="373">
        <v>12</v>
      </c>
      <c r="F17" s="367">
        <v>50</v>
      </c>
      <c r="G17" s="367">
        <v>50</v>
      </c>
      <c r="H17" s="367">
        <v>50</v>
      </c>
      <c r="I17" s="367">
        <v>50</v>
      </c>
      <c r="J17" s="367">
        <v>50</v>
      </c>
      <c r="K17" s="367">
        <v>50</v>
      </c>
      <c r="L17" s="367">
        <v>50</v>
      </c>
      <c r="M17" s="367">
        <v>50</v>
      </c>
      <c r="N17" s="367">
        <v>50</v>
      </c>
      <c r="O17" s="367">
        <v>50</v>
      </c>
      <c r="P17" s="367">
        <v>50</v>
      </c>
      <c r="Q17" s="367">
        <v>50</v>
      </c>
      <c r="R17" s="368">
        <f>SUM(F17:Q17)</f>
        <v>600</v>
      </c>
      <c r="S17" s="374"/>
    </row>
    <row r="18" spans="1:19" x14ac:dyDescent="0.25">
      <c r="A18" s="364">
        <f>A17+1</f>
        <v>5</v>
      </c>
      <c r="B18" s="366" t="s">
        <v>170</v>
      </c>
      <c r="C18" s="366"/>
      <c r="D18" s="366"/>
      <c r="E18" s="375"/>
      <c r="F18" s="367">
        <v>350</v>
      </c>
      <c r="G18" s="367">
        <v>350</v>
      </c>
      <c r="H18" s="367">
        <v>350</v>
      </c>
      <c r="I18" s="367">
        <v>350</v>
      </c>
      <c r="J18" s="367">
        <v>350</v>
      </c>
      <c r="K18" s="367">
        <v>350</v>
      </c>
      <c r="L18" s="367">
        <v>350</v>
      </c>
      <c r="M18" s="367">
        <v>350</v>
      </c>
      <c r="N18" s="367">
        <v>350</v>
      </c>
      <c r="O18" s="367">
        <v>350</v>
      </c>
      <c r="P18" s="367">
        <v>350</v>
      </c>
      <c r="Q18" s="367">
        <v>350</v>
      </c>
      <c r="R18" s="368">
        <f>SUM(F18:Q18)</f>
        <v>4200</v>
      </c>
      <c r="S18" s="374"/>
    </row>
    <row r="19" spans="1:19" x14ac:dyDescent="0.25">
      <c r="A19" s="364">
        <f>A18+1</f>
        <v>6</v>
      </c>
      <c r="B19" s="366" t="s">
        <v>171</v>
      </c>
      <c r="C19" s="366"/>
      <c r="D19" s="366"/>
      <c r="E19" s="375"/>
      <c r="F19" s="367">
        <v>600</v>
      </c>
      <c r="G19" s="367">
        <v>600</v>
      </c>
      <c r="H19" s="367">
        <v>600</v>
      </c>
      <c r="I19" s="367">
        <v>600</v>
      </c>
      <c r="J19" s="367">
        <v>600</v>
      </c>
      <c r="K19" s="367">
        <v>600</v>
      </c>
      <c r="L19" s="367">
        <v>600</v>
      </c>
      <c r="M19" s="367">
        <v>600</v>
      </c>
      <c r="N19" s="367">
        <v>600</v>
      </c>
      <c r="O19" s="367">
        <v>600</v>
      </c>
      <c r="P19" s="367">
        <v>600</v>
      </c>
      <c r="Q19" s="367">
        <v>600</v>
      </c>
      <c r="R19" s="368">
        <f>SUM(F19:Q19)</f>
        <v>7200</v>
      </c>
      <c r="S19" s="374"/>
    </row>
    <row r="20" spans="1:19" x14ac:dyDescent="0.25">
      <c r="A20" s="364">
        <f>A19+1</f>
        <v>7</v>
      </c>
      <c r="B20" s="366" t="s">
        <v>172</v>
      </c>
      <c r="C20" s="366"/>
      <c r="D20" s="366"/>
      <c r="E20" s="375"/>
      <c r="F20" s="367">
        <v>14000</v>
      </c>
      <c r="G20" s="367">
        <v>14000</v>
      </c>
      <c r="H20" s="367">
        <v>14000</v>
      </c>
      <c r="I20" s="367">
        <v>14000</v>
      </c>
      <c r="J20" s="367">
        <v>14000</v>
      </c>
      <c r="K20" s="367">
        <v>14000</v>
      </c>
      <c r="L20" s="367">
        <v>14000</v>
      </c>
      <c r="M20" s="367">
        <v>14000</v>
      </c>
      <c r="N20" s="367">
        <v>14000</v>
      </c>
      <c r="O20" s="367">
        <v>14000</v>
      </c>
      <c r="P20" s="367">
        <v>14000</v>
      </c>
      <c r="Q20" s="367">
        <v>14000</v>
      </c>
      <c r="R20" s="368">
        <f>SUM(F20:Q20)</f>
        <v>168000</v>
      </c>
      <c r="S20" s="374"/>
    </row>
    <row r="21" spans="1:19" x14ac:dyDescent="0.25">
      <c r="A21" s="364"/>
      <c r="B21" s="366"/>
      <c r="C21" s="366"/>
      <c r="D21" s="366"/>
      <c r="E21" s="375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8"/>
      <c r="S21" s="358"/>
    </row>
    <row r="22" spans="1:19" x14ac:dyDescent="0.25">
      <c r="A22" s="364">
        <f>A20+1</f>
        <v>8</v>
      </c>
      <c r="B22" s="369" t="s">
        <v>476</v>
      </c>
      <c r="C22" s="366" t="s">
        <v>477</v>
      </c>
      <c r="D22" s="370" t="s">
        <v>475</v>
      </c>
      <c r="E22" s="376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58"/>
    </row>
    <row r="23" spans="1:19" x14ac:dyDescent="0.25">
      <c r="A23" s="364">
        <f>A22+1</f>
        <v>9</v>
      </c>
      <c r="B23" s="372" t="s">
        <v>167</v>
      </c>
      <c r="C23" s="366"/>
      <c r="D23" s="366"/>
      <c r="E23" s="358"/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8">
        <f>SUM(F23:Q23)</f>
        <v>0</v>
      </c>
      <c r="S23" s="358"/>
    </row>
    <row r="24" spans="1:19" x14ac:dyDescent="0.25">
      <c r="A24" s="364"/>
      <c r="B24" s="372"/>
      <c r="C24" s="366"/>
      <c r="D24" s="366"/>
      <c r="E24" s="358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8"/>
      <c r="S24" s="358"/>
    </row>
    <row r="25" spans="1:19" x14ac:dyDescent="0.25">
      <c r="A25" s="364">
        <f>A23+1</f>
        <v>10</v>
      </c>
      <c r="B25" s="366" t="s">
        <v>169</v>
      </c>
      <c r="C25" s="366"/>
      <c r="D25" s="366"/>
      <c r="E25" s="358"/>
      <c r="F25" s="367">
        <v>50</v>
      </c>
      <c r="G25" s="367">
        <v>50</v>
      </c>
      <c r="H25" s="367">
        <v>50</v>
      </c>
      <c r="I25" s="367">
        <v>50</v>
      </c>
      <c r="J25" s="367">
        <v>50</v>
      </c>
      <c r="K25" s="367">
        <v>50</v>
      </c>
      <c r="L25" s="367">
        <v>50</v>
      </c>
      <c r="M25" s="367">
        <v>50</v>
      </c>
      <c r="N25" s="367">
        <v>50</v>
      </c>
      <c r="O25" s="367">
        <v>50</v>
      </c>
      <c r="P25" s="367">
        <v>50</v>
      </c>
      <c r="Q25" s="367">
        <v>50</v>
      </c>
      <c r="R25" s="368">
        <f>SUM(F25:Q25)</f>
        <v>600</v>
      </c>
      <c r="S25" s="358"/>
    </row>
    <row r="26" spans="1:19" x14ac:dyDescent="0.25">
      <c r="A26" s="364">
        <f>A25+1</f>
        <v>11</v>
      </c>
      <c r="B26" s="366" t="s">
        <v>170</v>
      </c>
      <c r="C26" s="366"/>
      <c r="D26" s="366"/>
      <c r="E26" s="358"/>
      <c r="F26" s="367">
        <v>350</v>
      </c>
      <c r="G26" s="367">
        <v>350</v>
      </c>
      <c r="H26" s="367">
        <v>350</v>
      </c>
      <c r="I26" s="367">
        <v>350</v>
      </c>
      <c r="J26" s="367">
        <v>350</v>
      </c>
      <c r="K26" s="367">
        <v>350</v>
      </c>
      <c r="L26" s="367">
        <v>350</v>
      </c>
      <c r="M26" s="367">
        <v>350</v>
      </c>
      <c r="N26" s="367">
        <v>350</v>
      </c>
      <c r="O26" s="367">
        <v>350</v>
      </c>
      <c r="P26" s="367">
        <v>350</v>
      </c>
      <c r="Q26" s="367">
        <v>350</v>
      </c>
      <c r="R26" s="368">
        <f>SUM(F26:Q26)</f>
        <v>4200</v>
      </c>
      <c r="S26" s="358"/>
    </row>
    <row r="27" spans="1:19" x14ac:dyDescent="0.25">
      <c r="A27" s="364">
        <f>A26+1</f>
        <v>12</v>
      </c>
      <c r="B27" s="366" t="s">
        <v>171</v>
      </c>
      <c r="C27" s="366"/>
      <c r="D27" s="366"/>
      <c r="E27" s="358"/>
      <c r="F27" s="367">
        <v>600</v>
      </c>
      <c r="G27" s="367">
        <v>600</v>
      </c>
      <c r="H27" s="367">
        <v>500</v>
      </c>
      <c r="I27" s="367">
        <v>400</v>
      </c>
      <c r="J27" s="367">
        <v>400</v>
      </c>
      <c r="K27" s="367">
        <v>350</v>
      </c>
      <c r="L27" s="367">
        <v>350</v>
      </c>
      <c r="M27" s="367">
        <v>350</v>
      </c>
      <c r="N27" s="367">
        <v>350</v>
      </c>
      <c r="O27" s="367">
        <v>450</v>
      </c>
      <c r="P27" s="367">
        <v>500</v>
      </c>
      <c r="Q27" s="367">
        <v>600</v>
      </c>
      <c r="R27" s="368">
        <f>SUM(F27:Q27)</f>
        <v>5450</v>
      </c>
      <c r="S27" s="358"/>
    </row>
    <row r="28" spans="1:19" x14ac:dyDescent="0.25">
      <c r="A28" s="364">
        <f>A27+1</f>
        <v>13</v>
      </c>
      <c r="B28" s="366" t="s">
        <v>172</v>
      </c>
      <c r="C28" s="366"/>
      <c r="D28" s="366"/>
      <c r="E28" s="358"/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8">
        <f>SUM(F28:Q28)</f>
        <v>0</v>
      </c>
      <c r="S28" s="358"/>
    </row>
    <row r="29" spans="1:19" x14ac:dyDescent="0.25">
      <c r="A29" s="364"/>
      <c r="B29" s="366"/>
      <c r="C29" s="366"/>
      <c r="D29" s="366"/>
      <c r="E29" s="364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58"/>
    </row>
    <row r="30" spans="1:19" x14ac:dyDescent="0.25">
      <c r="A30" s="364">
        <f>A28+1</f>
        <v>14</v>
      </c>
      <c r="B30" s="369" t="s">
        <v>476</v>
      </c>
      <c r="C30" s="366" t="s">
        <v>477</v>
      </c>
      <c r="D30" s="370" t="s">
        <v>475</v>
      </c>
      <c r="E30" s="376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58"/>
    </row>
    <row r="31" spans="1:19" x14ac:dyDescent="0.25">
      <c r="A31" s="364">
        <f>A30+1</f>
        <v>15</v>
      </c>
      <c r="B31" s="372" t="s">
        <v>167</v>
      </c>
      <c r="C31" s="366"/>
      <c r="D31" s="366"/>
      <c r="E31" s="358"/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8">
        <f>SUM(F31:Q31)</f>
        <v>0</v>
      </c>
      <c r="S31" s="358"/>
    </row>
    <row r="32" spans="1:19" x14ac:dyDescent="0.25">
      <c r="A32" s="364"/>
      <c r="B32" s="372"/>
      <c r="C32" s="366"/>
      <c r="D32" s="366"/>
      <c r="E32" s="358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8"/>
      <c r="S32" s="358"/>
    </row>
    <row r="33" spans="1:19" x14ac:dyDescent="0.25">
      <c r="A33" s="364">
        <f>A31+1</f>
        <v>16</v>
      </c>
      <c r="B33" s="366" t="s">
        <v>169</v>
      </c>
      <c r="C33" s="366"/>
      <c r="D33" s="366"/>
      <c r="E33" s="373">
        <v>12</v>
      </c>
      <c r="F33" s="367">
        <v>50</v>
      </c>
      <c r="G33" s="367">
        <v>50</v>
      </c>
      <c r="H33" s="367">
        <v>50</v>
      </c>
      <c r="I33" s="367">
        <v>50</v>
      </c>
      <c r="J33" s="367">
        <v>50</v>
      </c>
      <c r="K33" s="367">
        <v>50</v>
      </c>
      <c r="L33" s="367">
        <v>50</v>
      </c>
      <c r="M33" s="367">
        <v>50</v>
      </c>
      <c r="N33" s="367">
        <v>50</v>
      </c>
      <c r="O33" s="367">
        <v>50</v>
      </c>
      <c r="P33" s="367">
        <v>50</v>
      </c>
      <c r="Q33" s="367">
        <v>50</v>
      </c>
      <c r="R33" s="368">
        <f>SUM(F33:Q33)</f>
        <v>600</v>
      </c>
      <c r="S33" s="358"/>
    </row>
    <row r="34" spans="1:19" x14ac:dyDescent="0.25">
      <c r="A34" s="364">
        <f>A33+1</f>
        <v>17</v>
      </c>
      <c r="B34" s="366" t="s">
        <v>170</v>
      </c>
      <c r="C34" s="366"/>
      <c r="D34" s="366"/>
      <c r="E34" s="358"/>
      <c r="F34" s="367">
        <v>350</v>
      </c>
      <c r="G34" s="367">
        <v>350</v>
      </c>
      <c r="H34" s="367">
        <v>350</v>
      </c>
      <c r="I34" s="367">
        <v>350</v>
      </c>
      <c r="J34" s="367">
        <v>350</v>
      </c>
      <c r="K34" s="367">
        <v>350</v>
      </c>
      <c r="L34" s="367">
        <v>350</v>
      </c>
      <c r="M34" s="367">
        <v>350</v>
      </c>
      <c r="N34" s="367">
        <v>350</v>
      </c>
      <c r="O34" s="367">
        <v>350</v>
      </c>
      <c r="P34" s="367">
        <v>350</v>
      </c>
      <c r="Q34" s="367">
        <v>350</v>
      </c>
      <c r="R34" s="368">
        <f>SUM(F34:Q34)</f>
        <v>4200</v>
      </c>
      <c r="S34" s="358"/>
    </row>
    <row r="35" spans="1:19" x14ac:dyDescent="0.25">
      <c r="A35" s="364">
        <f>A34+1</f>
        <v>18</v>
      </c>
      <c r="B35" s="366" t="s">
        <v>171</v>
      </c>
      <c r="C35" s="366"/>
      <c r="D35" s="366"/>
      <c r="E35" s="358"/>
      <c r="F35" s="367">
        <v>600</v>
      </c>
      <c r="G35" s="367">
        <v>600</v>
      </c>
      <c r="H35" s="367">
        <v>600</v>
      </c>
      <c r="I35" s="367">
        <v>600</v>
      </c>
      <c r="J35" s="367">
        <v>600</v>
      </c>
      <c r="K35" s="367">
        <v>600</v>
      </c>
      <c r="L35" s="367">
        <v>600</v>
      </c>
      <c r="M35" s="367">
        <v>600</v>
      </c>
      <c r="N35" s="367">
        <v>600</v>
      </c>
      <c r="O35" s="367">
        <v>600</v>
      </c>
      <c r="P35" s="367">
        <v>600</v>
      </c>
      <c r="Q35" s="367">
        <v>600</v>
      </c>
      <c r="R35" s="368">
        <f>SUM(F35:Q35)</f>
        <v>7200</v>
      </c>
      <c r="S35" s="358"/>
    </row>
    <row r="36" spans="1:19" x14ac:dyDescent="0.25">
      <c r="A36" s="364">
        <f>A35+1</f>
        <v>19</v>
      </c>
      <c r="B36" s="366" t="s">
        <v>172</v>
      </c>
      <c r="C36" s="366"/>
      <c r="D36" s="366"/>
      <c r="E36" s="358"/>
      <c r="F36" s="367">
        <v>3000</v>
      </c>
      <c r="G36" s="367">
        <v>3000</v>
      </c>
      <c r="H36" s="367">
        <v>3000</v>
      </c>
      <c r="I36" s="367">
        <v>3000</v>
      </c>
      <c r="J36" s="367">
        <v>3000</v>
      </c>
      <c r="K36" s="367">
        <v>3000</v>
      </c>
      <c r="L36" s="367">
        <v>3000</v>
      </c>
      <c r="M36" s="367">
        <v>3000</v>
      </c>
      <c r="N36" s="367">
        <v>3000</v>
      </c>
      <c r="O36" s="367">
        <v>3000</v>
      </c>
      <c r="P36" s="367">
        <v>3000</v>
      </c>
      <c r="Q36" s="367">
        <v>3000</v>
      </c>
      <c r="R36" s="368">
        <f>SUM(F36:Q36)</f>
        <v>36000</v>
      </c>
      <c r="S36" s="358"/>
    </row>
    <row r="37" spans="1:19" x14ac:dyDescent="0.25">
      <c r="A37" s="364"/>
      <c r="B37" s="366"/>
      <c r="C37" s="366"/>
      <c r="D37" s="366"/>
      <c r="E37" s="364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58"/>
    </row>
    <row r="38" spans="1:19" x14ac:dyDescent="0.25">
      <c r="A38" s="364">
        <f>A28+1</f>
        <v>14</v>
      </c>
      <c r="B38" s="365" t="s">
        <v>478</v>
      </c>
      <c r="C38" s="366"/>
      <c r="D38" s="366"/>
      <c r="E38" s="35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58"/>
    </row>
    <row r="39" spans="1:19" x14ac:dyDescent="0.25">
      <c r="A39" s="364"/>
      <c r="B39" s="377"/>
      <c r="C39" s="366"/>
      <c r="D39" s="366"/>
      <c r="E39" s="35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58"/>
    </row>
    <row r="40" spans="1:19" x14ac:dyDescent="0.25">
      <c r="A40" s="364">
        <f>A38+1</f>
        <v>15</v>
      </c>
      <c r="B40" s="369" t="s">
        <v>481</v>
      </c>
      <c r="C40" s="366" t="s">
        <v>482</v>
      </c>
      <c r="D40" s="370" t="s">
        <v>483</v>
      </c>
      <c r="E40" s="376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58"/>
    </row>
    <row r="41" spans="1:19" x14ac:dyDescent="0.25">
      <c r="A41" s="364">
        <f>A40+1</f>
        <v>16</v>
      </c>
      <c r="B41" s="372" t="s">
        <v>167</v>
      </c>
      <c r="C41" s="366"/>
      <c r="D41" s="366"/>
      <c r="E41" s="358"/>
      <c r="F41" s="367">
        <v>2622.8</v>
      </c>
      <c r="G41" s="367">
        <v>2096</v>
      </c>
      <c r="H41" s="367">
        <v>1600</v>
      </c>
      <c r="I41" s="367">
        <v>800</v>
      </c>
      <c r="J41" s="367">
        <v>100</v>
      </c>
      <c r="K41" s="367">
        <v>50</v>
      </c>
      <c r="L41" s="367">
        <v>0</v>
      </c>
      <c r="M41" s="367">
        <v>0</v>
      </c>
      <c r="N41" s="367">
        <v>0</v>
      </c>
      <c r="O41" s="367">
        <v>100</v>
      </c>
      <c r="P41" s="367">
        <v>800</v>
      </c>
      <c r="Q41" s="367">
        <v>1900</v>
      </c>
      <c r="R41" s="368">
        <f>SUM(F41:Q41)</f>
        <v>10068.799999999999</v>
      </c>
      <c r="S41" s="358"/>
    </row>
    <row r="42" spans="1:19" x14ac:dyDescent="0.25">
      <c r="A42" s="364"/>
      <c r="B42" s="366"/>
      <c r="C42" s="366"/>
      <c r="D42" s="366"/>
      <c r="E42" s="35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58"/>
    </row>
    <row r="43" spans="1:19" x14ac:dyDescent="0.25">
      <c r="A43" s="364">
        <f>A41+1</f>
        <v>17</v>
      </c>
      <c r="B43" s="366" t="s">
        <v>169</v>
      </c>
      <c r="C43" s="366"/>
      <c r="D43" s="366"/>
      <c r="E43" s="373">
        <v>-12</v>
      </c>
      <c r="F43" s="367">
        <v>-50</v>
      </c>
      <c r="G43" s="367">
        <v>-50</v>
      </c>
      <c r="H43" s="367">
        <v>-50</v>
      </c>
      <c r="I43" s="367">
        <v>-50</v>
      </c>
      <c r="J43" s="367">
        <v>-50</v>
      </c>
      <c r="K43" s="367">
        <v>-50</v>
      </c>
      <c r="L43" s="367">
        <v>0</v>
      </c>
      <c r="M43" s="367">
        <v>0</v>
      </c>
      <c r="N43" s="367">
        <v>0</v>
      </c>
      <c r="O43" s="367">
        <v>-50</v>
      </c>
      <c r="P43" s="367">
        <v>-50</v>
      </c>
      <c r="Q43" s="367">
        <v>-50</v>
      </c>
      <c r="R43" s="368">
        <f>SUM(F43:Q43)</f>
        <v>-450</v>
      </c>
      <c r="S43" s="358"/>
    </row>
    <row r="44" spans="1:19" x14ac:dyDescent="0.25">
      <c r="A44" s="364">
        <f>A43+1</f>
        <v>18</v>
      </c>
      <c r="B44" s="366" t="s">
        <v>170</v>
      </c>
      <c r="C44" s="366"/>
      <c r="D44" s="366"/>
      <c r="E44" s="378"/>
      <c r="F44" s="367">
        <v>-350</v>
      </c>
      <c r="G44" s="367">
        <v>-350</v>
      </c>
      <c r="H44" s="367">
        <v>-350</v>
      </c>
      <c r="I44" s="367">
        <v>-350</v>
      </c>
      <c r="J44" s="367">
        <v>-50</v>
      </c>
      <c r="K44" s="367">
        <v>0</v>
      </c>
      <c r="L44" s="367">
        <v>0</v>
      </c>
      <c r="M44" s="367">
        <v>0</v>
      </c>
      <c r="N44" s="367">
        <v>0</v>
      </c>
      <c r="O44" s="367">
        <v>-50</v>
      </c>
      <c r="P44" s="367">
        <v>-350</v>
      </c>
      <c r="Q44" s="367">
        <v>-350</v>
      </c>
      <c r="R44" s="368">
        <f>SUM(F44:Q44)</f>
        <v>-2200</v>
      </c>
      <c r="S44" s="358"/>
    </row>
    <row r="45" spans="1:19" x14ac:dyDescent="0.25">
      <c r="A45" s="364">
        <f>A44+1</f>
        <v>19</v>
      </c>
      <c r="B45" s="366" t="s">
        <v>171</v>
      </c>
      <c r="C45" s="366"/>
      <c r="D45" s="366"/>
      <c r="E45" s="378"/>
      <c r="F45" s="367">
        <v>-600</v>
      </c>
      <c r="G45" s="367">
        <v>-600</v>
      </c>
      <c r="H45" s="367">
        <v>-600</v>
      </c>
      <c r="I45" s="367">
        <v>-400</v>
      </c>
      <c r="J45" s="367">
        <v>0</v>
      </c>
      <c r="K45" s="367">
        <v>0</v>
      </c>
      <c r="L45" s="367">
        <v>0</v>
      </c>
      <c r="M45" s="367">
        <v>0</v>
      </c>
      <c r="N45" s="367">
        <v>0</v>
      </c>
      <c r="O45" s="367">
        <v>0</v>
      </c>
      <c r="P45" s="367">
        <v>-400</v>
      </c>
      <c r="Q45" s="367">
        <v>-600</v>
      </c>
      <c r="R45" s="368">
        <f>SUM(F45:Q45)</f>
        <v>-3200</v>
      </c>
      <c r="S45" s="358"/>
    </row>
    <row r="46" spans="1:19" x14ac:dyDescent="0.25">
      <c r="A46" s="364">
        <f>A45+1</f>
        <v>20</v>
      </c>
      <c r="B46" s="366" t="s">
        <v>172</v>
      </c>
      <c r="C46" s="366"/>
      <c r="D46" s="366"/>
      <c r="E46" s="378"/>
      <c r="F46" s="367">
        <v>-1622.8</v>
      </c>
      <c r="G46" s="367">
        <v>-1096</v>
      </c>
      <c r="H46" s="367">
        <v>-600</v>
      </c>
      <c r="I46" s="367">
        <v>0</v>
      </c>
      <c r="J46" s="367">
        <v>0</v>
      </c>
      <c r="K46" s="367">
        <v>0</v>
      </c>
      <c r="L46" s="367">
        <v>0</v>
      </c>
      <c r="M46" s="367">
        <v>0</v>
      </c>
      <c r="N46" s="367">
        <v>0</v>
      </c>
      <c r="O46" s="367">
        <v>0</v>
      </c>
      <c r="P46" s="367">
        <v>0</v>
      </c>
      <c r="Q46" s="367">
        <v>-900</v>
      </c>
      <c r="R46" s="368">
        <f>SUM(F46:Q46)</f>
        <v>-4218.8</v>
      </c>
      <c r="S46" s="358"/>
    </row>
    <row r="47" spans="1:19" x14ac:dyDescent="0.25">
      <c r="A47" s="364"/>
      <c r="B47" s="366"/>
      <c r="C47" s="366"/>
      <c r="D47" s="366"/>
      <c r="E47" s="378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58"/>
    </row>
    <row r="48" spans="1:19" x14ac:dyDescent="0.25">
      <c r="A48" s="379">
        <f>A46+1</f>
        <v>21</v>
      </c>
      <c r="B48" s="365" t="s">
        <v>489</v>
      </c>
      <c r="C48" s="366"/>
      <c r="D48" s="366"/>
      <c r="E48" s="380"/>
      <c r="F48" s="367"/>
      <c r="G48" s="367"/>
      <c r="H48" s="367"/>
      <c r="I48" s="367"/>
      <c r="J48" s="367"/>
      <c r="K48" s="381"/>
      <c r="L48" s="381"/>
      <c r="M48" s="381"/>
      <c r="N48" s="381"/>
      <c r="O48" s="381"/>
      <c r="P48" s="381"/>
      <c r="Q48" s="381"/>
      <c r="R48" s="382"/>
      <c r="S48" s="382"/>
    </row>
    <row r="49" spans="1:19" x14ac:dyDescent="0.25">
      <c r="A49" s="379"/>
      <c r="B49" s="383"/>
      <c r="C49" s="383"/>
      <c r="D49" s="383"/>
      <c r="E49" s="384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2"/>
      <c r="S49" s="382"/>
    </row>
    <row r="50" spans="1:19" x14ac:dyDescent="0.25">
      <c r="A50" s="358">
        <f>A48+1</f>
        <v>22</v>
      </c>
      <c r="B50" s="369" t="s">
        <v>479</v>
      </c>
      <c r="C50" s="366" t="s">
        <v>480</v>
      </c>
      <c r="D50" s="383"/>
      <c r="E50" s="384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2"/>
      <c r="S50" s="382"/>
    </row>
    <row r="51" spans="1:19" x14ac:dyDescent="0.25">
      <c r="A51" s="358">
        <f>A50+1</f>
        <v>23</v>
      </c>
      <c r="B51" s="372" t="s">
        <v>167</v>
      </c>
      <c r="C51" s="366"/>
      <c r="D51" s="383"/>
      <c r="E51" s="384"/>
      <c r="F51" s="367">
        <v>395112</v>
      </c>
      <c r="G51" s="367">
        <v>383376</v>
      </c>
      <c r="H51" s="367">
        <v>383376</v>
      </c>
      <c r="I51" s="367">
        <v>383376</v>
      </c>
      <c r="J51" s="367">
        <v>383376</v>
      </c>
      <c r="K51" s="367">
        <v>383376</v>
      </c>
      <c r="L51" s="367">
        <v>383376</v>
      </c>
      <c r="M51" s="367">
        <v>383376</v>
      </c>
      <c r="N51" s="367">
        <v>383376</v>
      </c>
      <c r="O51" s="367">
        <v>383376</v>
      </c>
      <c r="P51" s="367">
        <v>383376</v>
      </c>
      <c r="Q51" s="367">
        <v>395112</v>
      </c>
      <c r="R51" s="368">
        <f>SUM(F51:Q51)</f>
        <v>4623984</v>
      </c>
      <c r="S51" s="382"/>
    </row>
    <row r="52" spans="1:19" x14ac:dyDescent="0.25">
      <c r="A52" s="358"/>
      <c r="B52" s="366"/>
      <c r="C52" s="366"/>
      <c r="D52" s="383"/>
      <c r="E52" s="384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2"/>
      <c r="S52" s="382"/>
    </row>
    <row r="53" spans="1:19" x14ac:dyDescent="0.25">
      <c r="A53" s="358">
        <f>A51+1</f>
        <v>24</v>
      </c>
      <c r="B53" s="366" t="s">
        <v>484</v>
      </c>
      <c r="C53" s="366"/>
      <c r="D53" s="383"/>
      <c r="E53" s="384"/>
      <c r="F53" s="381">
        <v>0</v>
      </c>
      <c r="G53" s="381">
        <v>0</v>
      </c>
      <c r="H53" s="381">
        <v>-10000</v>
      </c>
      <c r="I53" s="381">
        <v>-10000</v>
      </c>
      <c r="J53" s="381">
        <v>-20000</v>
      </c>
      <c r="K53" s="381">
        <v>-20000</v>
      </c>
      <c r="L53" s="381">
        <v>-20000</v>
      </c>
      <c r="M53" s="381">
        <v>-20000</v>
      </c>
      <c r="N53" s="381">
        <v>-20000</v>
      </c>
      <c r="O53" s="381">
        <v>-20000</v>
      </c>
      <c r="P53" s="381">
        <v>-10000</v>
      </c>
      <c r="Q53" s="381">
        <v>0</v>
      </c>
      <c r="R53" s="368"/>
      <c r="S53" s="382"/>
    </row>
    <row r="54" spans="1:19" x14ac:dyDescent="0.25">
      <c r="A54" s="358">
        <f>A53+1</f>
        <v>25</v>
      </c>
      <c r="B54" s="366" t="s">
        <v>485</v>
      </c>
      <c r="C54" s="366"/>
      <c r="D54" s="383"/>
      <c r="E54" s="384"/>
      <c r="F54" s="381">
        <f>-225112-5000</f>
        <v>-230112</v>
      </c>
      <c r="G54" s="381">
        <f>-213376-15000</f>
        <v>-228376</v>
      </c>
      <c r="H54" s="381">
        <v>-233376</v>
      </c>
      <c r="I54" s="381">
        <f>-233376-12000</f>
        <v>-245376</v>
      </c>
      <c r="J54" s="381">
        <f>-233376-19000</f>
        <v>-252376</v>
      </c>
      <c r="K54" s="381">
        <f>-233376-28000</f>
        <v>-261376</v>
      </c>
      <c r="L54" s="381">
        <f>-233376-28000</f>
        <v>-261376</v>
      </c>
      <c r="M54" s="381">
        <f>-233376-28000</f>
        <v>-261376</v>
      </c>
      <c r="N54" s="381">
        <f>-233376-10000</f>
        <v>-243376</v>
      </c>
      <c r="O54" s="381">
        <f>-233376+15000</f>
        <v>-218376</v>
      </c>
      <c r="P54" s="381">
        <f>-233376+10000</f>
        <v>-223376</v>
      </c>
      <c r="Q54" s="381">
        <f>-225112-10000</f>
        <v>-235112</v>
      </c>
      <c r="R54" s="368"/>
      <c r="S54" s="382"/>
    </row>
    <row r="55" spans="1:19" x14ac:dyDescent="0.25">
      <c r="A55" s="379"/>
      <c r="B55" s="383"/>
      <c r="C55" s="383"/>
      <c r="D55" s="383"/>
      <c r="E55" s="384"/>
      <c r="R55" s="368"/>
      <c r="S55" s="382"/>
    </row>
    <row r="56" spans="1:19" x14ac:dyDescent="0.25">
      <c r="A56" s="364">
        <f>A54+1</f>
        <v>26</v>
      </c>
      <c r="B56" s="369" t="s">
        <v>486</v>
      </c>
      <c r="C56" s="366" t="s">
        <v>168</v>
      </c>
      <c r="D56" s="370"/>
      <c r="E56" s="376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</row>
    <row r="57" spans="1:19" x14ac:dyDescent="0.25">
      <c r="A57" s="364">
        <f>A56+1</f>
        <v>27</v>
      </c>
      <c r="B57" s="372" t="s">
        <v>167</v>
      </c>
      <c r="C57" s="366"/>
      <c r="D57" s="366"/>
      <c r="E57" s="358"/>
      <c r="F57" s="367">
        <v>70000</v>
      </c>
      <c r="G57" s="367">
        <v>70000</v>
      </c>
      <c r="H57" s="367">
        <v>65000</v>
      </c>
      <c r="I57" s="367">
        <v>60000</v>
      </c>
      <c r="J57" s="367">
        <v>55000</v>
      </c>
      <c r="K57" s="367">
        <v>55000</v>
      </c>
      <c r="L57" s="367">
        <v>55000</v>
      </c>
      <c r="M57" s="367">
        <v>56000</v>
      </c>
      <c r="N57" s="367">
        <v>59000</v>
      </c>
      <c r="O57" s="367">
        <v>65000</v>
      </c>
      <c r="P57" s="367">
        <v>65000</v>
      </c>
      <c r="Q57" s="367">
        <v>70000</v>
      </c>
      <c r="R57" s="368">
        <f>SUM(F57:Q57)</f>
        <v>745000</v>
      </c>
    </row>
    <row r="58" spans="1:19" x14ac:dyDescent="0.25">
      <c r="A58" s="364"/>
      <c r="B58" s="366"/>
      <c r="C58" s="366"/>
      <c r="D58" s="366"/>
      <c r="E58" s="35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</row>
    <row r="59" spans="1:19" x14ac:dyDescent="0.25">
      <c r="A59" s="364">
        <f>A57+1</f>
        <v>28</v>
      </c>
      <c r="B59" s="366" t="s">
        <v>487</v>
      </c>
      <c r="C59" s="366"/>
      <c r="D59" s="366"/>
      <c r="E59" s="373"/>
      <c r="F59" s="367">
        <v>-10000</v>
      </c>
      <c r="G59" s="367">
        <v>-10000</v>
      </c>
      <c r="H59" s="367">
        <v>-10000</v>
      </c>
      <c r="I59" s="367">
        <v>-10000</v>
      </c>
      <c r="J59" s="367">
        <v>-10000</v>
      </c>
      <c r="K59" s="367">
        <v>-10000</v>
      </c>
      <c r="L59" s="367">
        <v>-10000</v>
      </c>
      <c r="M59" s="367">
        <v>-10000</v>
      </c>
      <c r="N59" s="367">
        <v>-10000</v>
      </c>
      <c r="O59" s="367">
        <v>-10000</v>
      </c>
      <c r="P59" s="367">
        <v>-10000</v>
      </c>
      <c r="Q59" s="367">
        <v>-10000</v>
      </c>
      <c r="R59" s="368">
        <f>SUM(F59:Q59)</f>
        <v>-120000</v>
      </c>
    </row>
    <row r="60" spans="1:19" x14ac:dyDescent="0.25">
      <c r="A60" s="364"/>
      <c r="B60" s="366" t="s">
        <v>648</v>
      </c>
      <c r="C60" s="366"/>
      <c r="D60" s="366"/>
      <c r="E60" s="373"/>
      <c r="F60" s="367">
        <v>0</v>
      </c>
      <c r="G60" s="367">
        <v>0</v>
      </c>
      <c r="H60" s="367">
        <v>0</v>
      </c>
      <c r="I60" s="367">
        <v>0</v>
      </c>
      <c r="J60" s="367">
        <v>0</v>
      </c>
      <c r="K60" s="367">
        <v>0</v>
      </c>
      <c r="L60" s="367">
        <v>0</v>
      </c>
      <c r="M60" s="367">
        <v>0</v>
      </c>
      <c r="N60" s="367">
        <v>0</v>
      </c>
      <c r="O60" s="367">
        <v>0</v>
      </c>
      <c r="P60" s="367">
        <v>0</v>
      </c>
      <c r="Q60" s="367">
        <v>0</v>
      </c>
      <c r="R60" s="368">
        <f>SUM(F60:Q60)</f>
        <v>0</v>
      </c>
    </row>
    <row r="61" spans="1:19" x14ac:dyDescent="0.25">
      <c r="A61" s="364">
        <f>A59+1</f>
        <v>29</v>
      </c>
      <c r="B61" s="366" t="s">
        <v>488</v>
      </c>
      <c r="C61" s="366"/>
      <c r="D61" s="366"/>
      <c r="E61" s="378"/>
      <c r="F61" s="367">
        <v>0</v>
      </c>
      <c r="G61" s="367">
        <v>0</v>
      </c>
      <c r="H61" s="367">
        <v>0</v>
      </c>
      <c r="I61" s="367">
        <v>0</v>
      </c>
      <c r="J61" s="367">
        <v>0</v>
      </c>
      <c r="K61" s="367">
        <v>0</v>
      </c>
      <c r="L61" s="367">
        <v>0</v>
      </c>
      <c r="M61" s="367">
        <v>0</v>
      </c>
      <c r="N61" s="367">
        <v>0</v>
      </c>
      <c r="O61" s="367">
        <v>0</v>
      </c>
      <c r="P61" s="367">
        <v>0</v>
      </c>
      <c r="Q61" s="367">
        <v>0</v>
      </c>
      <c r="R61" s="368">
        <f>SUM(F61:Q61)</f>
        <v>0</v>
      </c>
    </row>
    <row r="62" spans="1:19" x14ac:dyDescent="0.25">
      <c r="B62" s="385"/>
      <c r="C62" s="383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</row>
    <row r="64" spans="1:19" x14ac:dyDescent="0.25">
      <c r="B64" s="386"/>
      <c r="C64" s="383"/>
      <c r="D64" s="387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2"/>
    </row>
    <row r="65" spans="2:19" ht="15" x14ac:dyDescent="0.25">
      <c r="B65" s="383"/>
      <c r="C65" s="383"/>
      <c r="D65" s="383"/>
      <c r="E65" s="384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82"/>
      <c r="S65" s="382"/>
    </row>
    <row r="66" spans="2:19" ht="15" x14ac:dyDescent="0.25">
      <c r="B66" s="383"/>
      <c r="C66" s="383"/>
      <c r="D66" s="383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82"/>
      <c r="S66" s="382"/>
    </row>
    <row r="67" spans="2:19" x14ac:dyDescent="0.25">
      <c r="B67" s="383"/>
      <c r="C67" s="383"/>
      <c r="D67" s="383"/>
      <c r="E67" s="384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2"/>
      <c r="S67" s="382"/>
    </row>
    <row r="68" spans="2:19" x14ac:dyDescent="0.25">
      <c r="B68" s="383"/>
      <c r="C68" s="383"/>
      <c r="D68" s="383"/>
      <c r="E68" s="384"/>
      <c r="F68" s="381"/>
      <c r="G68" s="381"/>
      <c r="H68" s="381"/>
      <c r="I68" s="381"/>
      <c r="J68" s="381"/>
      <c r="K68" s="381"/>
      <c r="L68" s="381"/>
      <c r="M68" s="381"/>
      <c r="N68" s="381"/>
      <c r="O68" s="381"/>
      <c r="P68" s="381"/>
      <c r="Q68" s="381"/>
      <c r="R68" s="382"/>
      <c r="S68" s="382"/>
    </row>
    <row r="69" spans="2:19" x14ac:dyDescent="0.25">
      <c r="B69" s="383"/>
      <c r="C69" s="383"/>
      <c r="D69" s="383"/>
      <c r="E69" s="384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1"/>
      <c r="R69" s="382"/>
      <c r="S69" s="382"/>
    </row>
    <row r="70" spans="2:19" x14ac:dyDescent="0.25">
      <c r="B70" s="383"/>
      <c r="C70" s="383"/>
      <c r="D70" s="383"/>
      <c r="E70" s="384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1"/>
      <c r="R70" s="382"/>
      <c r="S70" s="382"/>
    </row>
    <row r="71" spans="2:19" x14ac:dyDescent="0.25">
      <c r="B71" s="383"/>
      <c r="C71" s="383"/>
      <c r="D71" s="383"/>
      <c r="E71" s="384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2"/>
    </row>
    <row r="72" spans="2:19" x14ac:dyDescent="0.25">
      <c r="B72" s="386"/>
      <c r="C72" s="383"/>
      <c r="D72" s="387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2"/>
    </row>
    <row r="73" spans="2:19" x14ac:dyDescent="0.25">
      <c r="B73" s="383"/>
      <c r="C73" s="383"/>
      <c r="D73" s="383"/>
      <c r="E73" s="384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1"/>
      <c r="Q73" s="381"/>
      <c r="R73" s="382"/>
      <c r="S73" s="382"/>
    </row>
    <row r="74" spans="2:19" x14ac:dyDescent="0.25">
      <c r="B74" s="383"/>
      <c r="C74" s="383"/>
      <c r="D74" s="383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</row>
    <row r="75" spans="2:19" x14ac:dyDescent="0.25">
      <c r="B75" s="383"/>
      <c r="C75" s="383"/>
      <c r="D75" s="383"/>
      <c r="E75" s="384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2"/>
      <c r="S75" s="382"/>
    </row>
    <row r="76" spans="2:19" x14ac:dyDescent="0.25">
      <c r="B76" s="383"/>
      <c r="C76" s="383"/>
      <c r="D76" s="383"/>
      <c r="E76" s="384"/>
      <c r="F76" s="381"/>
      <c r="G76" s="381"/>
      <c r="H76" s="381"/>
      <c r="I76" s="381"/>
      <c r="J76" s="381"/>
      <c r="K76" s="381"/>
      <c r="L76" s="381"/>
      <c r="M76" s="381"/>
      <c r="N76" s="381"/>
      <c r="O76" s="381"/>
      <c r="P76" s="381"/>
      <c r="Q76" s="381"/>
      <c r="R76" s="382"/>
      <c r="S76" s="382"/>
    </row>
    <row r="77" spans="2:19" x14ac:dyDescent="0.25">
      <c r="B77" s="383"/>
      <c r="C77" s="383"/>
      <c r="D77" s="383"/>
      <c r="E77" s="384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  <c r="Q77" s="381"/>
      <c r="R77" s="382"/>
      <c r="S77" s="382"/>
    </row>
    <row r="78" spans="2:19" x14ac:dyDescent="0.25">
      <c r="B78" s="383"/>
      <c r="C78" s="383"/>
      <c r="D78" s="383"/>
      <c r="E78" s="384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  <c r="Q78" s="381"/>
      <c r="R78" s="382"/>
      <c r="S78" s="382"/>
    </row>
    <row r="79" spans="2:19" x14ac:dyDescent="0.25">
      <c r="B79" s="383"/>
      <c r="C79" s="383"/>
      <c r="D79" s="383"/>
      <c r="E79" s="384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2"/>
      <c r="S79" s="382"/>
    </row>
    <row r="80" spans="2:19" x14ac:dyDescent="0.25">
      <c r="B80" s="386"/>
      <c r="C80" s="383"/>
      <c r="D80" s="387"/>
      <c r="F80" s="381"/>
      <c r="G80" s="381"/>
      <c r="H80" s="381"/>
      <c r="I80" s="381"/>
      <c r="J80" s="381"/>
      <c r="K80" s="381"/>
      <c r="L80" s="381"/>
      <c r="M80" s="381"/>
      <c r="N80" s="381"/>
      <c r="O80" s="381"/>
      <c r="P80" s="381"/>
      <c r="Q80" s="381"/>
      <c r="R80" s="382"/>
    </row>
    <row r="81" spans="2:19" x14ac:dyDescent="0.25">
      <c r="B81" s="383"/>
      <c r="C81" s="383"/>
      <c r="D81" s="383"/>
      <c r="E81" s="384"/>
      <c r="F81" s="381"/>
      <c r="G81" s="381"/>
      <c r="H81" s="381"/>
      <c r="I81" s="381"/>
      <c r="J81" s="381"/>
      <c r="K81" s="381"/>
      <c r="L81" s="381"/>
      <c r="M81" s="381"/>
      <c r="N81" s="381"/>
      <c r="O81" s="381"/>
      <c r="P81" s="381"/>
      <c r="Q81" s="381"/>
      <c r="R81" s="382"/>
      <c r="S81" s="382"/>
    </row>
    <row r="82" spans="2:19" x14ac:dyDescent="0.25">
      <c r="B82" s="383"/>
      <c r="C82" s="383"/>
      <c r="D82" s="383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</row>
    <row r="83" spans="2:19" x14ac:dyDescent="0.25">
      <c r="B83" s="383"/>
      <c r="C83" s="383"/>
      <c r="D83" s="383"/>
      <c r="E83" s="383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2"/>
      <c r="S83" s="382"/>
    </row>
    <row r="84" spans="2:19" x14ac:dyDescent="0.25">
      <c r="B84" s="383"/>
      <c r="C84" s="383"/>
      <c r="D84" s="383"/>
      <c r="E84" s="383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2"/>
      <c r="S84" s="382"/>
    </row>
    <row r="85" spans="2:19" x14ac:dyDescent="0.25">
      <c r="B85" s="383"/>
      <c r="C85" s="383"/>
      <c r="D85" s="383"/>
      <c r="E85" s="383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1"/>
      <c r="Q85" s="381"/>
      <c r="R85" s="382"/>
    </row>
    <row r="86" spans="2:19" x14ac:dyDescent="0.25">
      <c r="B86" s="383"/>
      <c r="C86" s="383"/>
      <c r="D86" s="383"/>
      <c r="E86" s="383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1"/>
      <c r="R86" s="382"/>
    </row>
    <row r="87" spans="2:19" x14ac:dyDescent="0.25">
      <c r="B87" s="383"/>
      <c r="C87" s="383"/>
      <c r="D87" s="383"/>
      <c r="E87" s="383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2"/>
    </row>
    <row r="90" spans="2:19" x14ac:dyDescent="0.25">
      <c r="B90" s="386"/>
      <c r="C90" s="383"/>
      <c r="D90" s="387"/>
      <c r="F90" s="381"/>
      <c r="G90" s="381"/>
      <c r="H90" s="381"/>
      <c r="I90" s="381"/>
      <c r="J90" s="381"/>
      <c r="K90" s="381"/>
      <c r="L90" s="381"/>
      <c r="M90" s="381"/>
      <c r="N90" s="381"/>
      <c r="O90" s="381"/>
      <c r="P90" s="381"/>
      <c r="Q90" s="381"/>
      <c r="R90" s="382"/>
    </row>
    <row r="91" spans="2:19" x14ac:dyDescent="0.25">
      <c r="B91" s="383"/>
      <c r="C91" s="383"/>
      <c r="D91" s="383"/>
      <c r="E91" s="384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2"/>
      <c r="S91" s="382"/>
    </row>
    <row r="92" spans="2:19" x14ac:dyDescent="0.25">
      <c r="B92" s="383"/>
      <c r="C92" s="383"/>
      <c r="D92" s="383"/>
      <c r="F92" s="382"/>
      <c r="G92" s="382"/>
      <c r="H92" s="382"/>
      <c r="I92" s="382"/>
      <c r="J92" s="382"/>
      <c r="K92" s="382"/>
      <c r="L92" s="382"/>
      <c r="M92" s="382"/>
      <c r="N92" s="382"/>
      <c r="O92" s="382"/>
      <c r="P92" s="382"/>
      <c r="Q92" s="382"/>
      <c r="R92" s="382"/>
      <c r="S92" s="382"/>
    </row>
    <row r="93" spans="2:19" x14ac:dyDescent="0.25">
      <c r="B93" s="383"/>
      <c r="C93" s="383"/>
      <c r="D93" s="383"/>
      <c r="E93" s="384"/>
      <c r="F93" s="381"/>
      <c r="G93" s="381"/>
      <c r="H93" s="381"/>
      <c r="I93" s="381"/>
      <c r="J93" s="381"/>
      <c r="K93" s="381"/>
      <c r="L93" s="381"/>
      <c r="M93" s="381"/>
      <c r="N93" s="381"/>
      <c r="O93" s="381"/>
      <c r="P93" s="381"/>
      <c r="Q93" s="381"/>
      <c r="R93" s="382"/>
      <c r="S93" s="382"/>
    </row>
    <row r="94" spans="2:19" x14ac:dyDescent="0.25">
      <c r="B94" s="383"/>
      <c r="C94" s="383"/>
      <c r="D94" s="383"/>
      <c r="E94" s="384"/>
      <c r="F94" s="381"/>
      <c r="G94" s="381"/>
      <c r="H94" s="381"/>
      <c r="I94" s="381"/>
      <c r="J94" s="381"/>
      <c r="K94" s="381"/>
      <c r="L94" s="381"/>
      <c r="M94" s="381"/>
      <c r="N94" s="381"/>
      <c r="O94" s="381"/>
      <c r="P94" s="381"/>
      <c r="Q94" s="381"/>
      <c r="R94" s="382"/>
      <c r="S94" s="382"/>
    </row>
    <row r="95" spans="2:19" x14ac:dyDescent="0.25">
      <c r="B95" s="383"/>
      <c r="C95" s="383"/>
      <c r="D95" s="383"/>
      <c r="E95" s="384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2"/>
      <c r="S95" s="382"/>
    </row>
    <row r="96" spans="2:19" x14ac:dyDescent="0.25">
      <c r="B96" s="383"/>
      <c r="C96" s="383"/>
      <c r="D96" s="383"/>
      <c r="E96" s="384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2"/>
    </row>
    <row r="97" spans="1:19" x14ac:dyDescent="0.25">
      <c r="B97" s="383"/>
      <c r="C97" s="383"/>
      <c r="D97" s="383"/>
      <c r="E97" s="384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1"/>
      <c r="R97" s="382"/>
      <c r="S97" s="382"/>
    </row>
    <row r="98" spans="1:19" x14ac:dyDescent="0.25">
      <c r="B98" s="383"/>
      <c r="C98" s="383"/>
      <c r="D98" s="383"/>
      <c r="E98" s="384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2"/>
      <c r="S98" s="382"/>
    </row>
    <row r="99" spans="1:19" x14ac:dyDescent="0.25">
      <c r="B99" s="383"/>
      <c r="C99" s="383"/>
      <c r="D99" s="383"/>
      <c r="E99" s="384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2"/>
    </row>
    <row r="100" spans="1:19" x14ac:dyDescent="0.25">
      <c r="B100" s="383"/>
      <c r="C100" s="383"/>
      <c r="D100" s="383"/>
      <c r="E100" s="384"/>
      <c r="F100" s="381"/>
      <c r="G100" s="381"/>
      <c r="H100" s="381"/>
      <c r="I100" s="381"/>
      <c r="J100" s="381"/>
      <c r="K100" s="381"/>
      <c r="L100" s="381"/>
      <c r="M100" s="381"/>
      <c r="N100" s="381"/>
      <c r="O100" s="381"/>
      <c r="P100" s="381"/>
      <c r="Q100" s="381"/>
      <c r="R100" s="382"/>
    </row>
    <row r="101" spans="1:19" x14ac:dyDescent="0.25">
      <c r="B101" s="383"/>
      <c r="C101" s="383"/>
      <c r="D101" s="383"/>
      <c r="E101" s="384"/>
      <c r="F101" s="381"/>
      <c r="G101" s="381"/>
      <c r="H101" s="381"/>
      <c r="I101" s="381"/>
      <c r="J101" s="381"/>
      <c r="K101" s="381"/>
      <c r="L101" s="381"/>
      <c r="M101" s="381"/>
      <c r="N101" s="381"/>
      <c r="O101" s="381"/>
      <c r="P101" s="381"/>
      <c r="Q101" s="381"/>
      <c r="R101" s="382"/>
    </row>
    <row r="102" spans="1:19" x14ac:dyDescent="0.25">
      <c r="B102" s="383"/>
      <c r="C102" s="383"/>
      <c r="D102" s="383"/>
      <c r="E102" s="384"/>
      <c r="F102" s="381"/>
      <c r="G102" s="381"/>
      <c r="H102" s="381"/>
      <c r="I102" s="381"/>
      <c r="J102" s="381"/>
      <c r="K102" s="381"/>
      <c r="L102" s="381"/>
      <c r="M102" s="381"/>
      <c r="N102" s="381"/>
      <c r="O102" s="381"/>
      <c r="P102" s="381"/>
      <c r="Q102" s="381"/>
      <c r="R102" s="382"/>
    </row>
    <row r="103" spans="1:19" x14ac:dyDescent="0.25">
      <c r="B103" s="383"/>
      <c r="C103" s="383"/>
      <c r="D103" s="383"/>
      <c r="E103" s="384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2"/>
    </row>
    <row r="104" spans="1:19" x14ac:dyDescent="0.25">
      <c r="B104" s="383"/>
      <c r="C104" s="383"/>
      <c r="D104" s="383"/>
      <c r="E104" s="384"/>
      <c r="F104" s="381"/>
      <c r="G104" s="381"/>
      <c r="H104" s="381"/>
      <c r="I104" s="381"/>
      <c r="J104" s="381"/>
      <c r="K104" s="381"/>
      <c r="L104" s="381"/>
      <c r="M104" s="381"/>
      <c r="N104" s="381"/>
      <c r="O104" s="381"/>
      <c r="P104" s="382"/>
      <c r="Q104" s="382"/>
      <c r="R104" s="382"/>
    </row>
    <row r="105" spans="1:19" x14ac:dyDescent="0.25">
      <c r="F105" s="382"/>
      <c r="G105" s="388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</row>
    <row r="106" spans="1:19" x14ac:dyDescent="0.25">
      <c r="E106" s="389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90"/>
      <c r="Q106" s="390"/>
      <c r="R106" s="382"/>
    </row>
    <row r="107" spans="1:19" x14ac:dyDescent="0.25">
      <c r="F107" s="388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</row>
    <row r="108" spans="1:19" x14ac:dyDescent="0.25">
      <c r="A108" s="389"/>
      <c r="B108" s="389"/>
      <c r="C108" s="389"/>
      <c r="D108" s="389"/>
      <c r="E108" s="389"/>
      <c r="F108" s="388"/>
      <c r="G108" s="388"/>
      <c r="H108" s="388"/>
      <c r="I108" s="388"/>
      <c r="J108" s="388"/>
      <c r="K108" s="388"/>
      <c r="L108" s="388"/>
      <c r="M108" s="388"/>
      <c r="N108" s="388"/>
      <c r="O108" s="388"/>
      <c r="P108" s="388"/>
      <c r="Q108" s="388"/>
      <c r="R108" s="382"/>
    </row>
    <row r="109" spans="1:19" x14ac:dyDescent="0.25">
      <c r="A109" s="389"/>
      <c r="B109" s="389"/>
      <c r="C109" s="389"/>
      <c r="D109" s="354"/>
      <c r="E109" s="389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</row>
    <row r="110" spans="1:19" x14ac:dyDescent="0.25">
      <c r="A110" s="389"/>
      <c r="B110" s="389"/>
      <c r="C110" s="389"/>
      <c r="D110" s="354"/>
      <c r="E110" s="389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</row>
    <row r="111" spans="1:19" x14ac:dyDescent="0.25">
      <c r="A111" s="354"/>
      <c r="B111" s="389"/>
      <c r="C111" s="354"/>
      <c r="D111" s="354"/>
      <c r="E111" s="391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</row>
    <row r="112" spans="1:19" x14ac:dyDescent="0.25">
      <c r="A112" s="392"/>
      <c r="B112" s="392"/>
      <c r="C112" s="392"/>
      <c r="D112" s="392"/>
      <c r="E112" s="392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</row>
    <row r="113" spans="1:19" x14ac:dyDescent="0.25">
      <c r="A113" s="389"/>
      <c r="B113" s="389"/>
      <c r="C113" s="389"/>
      <c r="D113" s="389"/>
      <c r="E113" s="389"/>
      <c r="F113" s="394"/>
      <c r="G113" s="394"/>
      <c r="H113" s="394"/>
      <c r="I113" s="394"/>
      <c r="J113" s="394"/>
      <c r="K113" s="394"/>
      <c r="L113" s="394"/>
      <c r="M113" s="394"/>
      <c r="N113" s="394"/>
      <c r="O113" s="394"/>
      <c r="P113" s="394"/>
      <c r="Q113" s="394"/>
      <c r="R113" s="394"/>
    </row>
    <row r="114" spans="1:19" x14ac:dyDescent="0.25"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</row>
    <row r="115" spans="1:19" x14ac:dyDescent="0.25">
      <c r="B115" s="385"/>
      <c r="C115" s="383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</row>
    <row r="116" spans="1:19" x14ac:dyDescent="0.25">
      <c r="B116" s="383"/>
      <c r="C116" s="383"/>
      <c r="D116" s="383"/>
      <c r="E116" s="384"/>
      <c r="F116" s="381"/>
      <c r="G116" s="381"/>
      <c r="H116" s="381"/>
      <c r="I116" s="381"/>
      <c r="J116" s="381"/>
      <c r="K116" s="381"/>
      <c r="L116" s="381"/>
      <c r="M116" s="381"/>
      <c r="N116" s="381"/>
      <c r="O116" s="381"/>
      <c r="P116" s="381"/>
      <c r="Q116" s="381"/>
      <c r="R116" s="382"/>
    </row>
    <row r="117" spans="1:19" x14ac:dyDescent="0.25">
      <c r="B117" s="386"/>
      <c r="C117" s="383"/>
      <c r="D117" s="387"/>
      <c r="F117" s="381"/>
      <c r="G117" s="381"/>
      <c r="H117" s="381"/>
      <c r="I117" s="381"/>
      <c r="J117" s="381"/>
      <c r="K117" s="381"/>
      <c r="L117" s="381"/>
      <c r="M117" s="381"/>
      <c r="N117" s="381"/>
      <c r="O117" s="381"/>
      <c r="P117" s="381"/>
      <c r="Q117" s="381"/>
      <c r="R117" s="382"/>
    </row>
    <row r="118" spans="1:19" x14ac:dyDescent="0.25">
      <c r="B118" s="383"/>
      <c r="C118" s="383"/>
      <c r="D118" s="383"/>
      <c r="E118" s="384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  <c r="Q118" s="381"/>
      <c r="R118" s="382"/>
      <c r="S118" s="382"/>
    </row>
    <row r="119" spans="1:19" x14ac:dyDescent="0.25">
      <c r="B119" s="383"/>
      <c r="C119" s="383"/>
      <c r="D119" s="383"/>
      <c r="F119" s="382"/>
      <c r="G119" s="382"/>
      <c r="H119" s="382"/>
      <c r="I119" s="382"/>
      <c r="J119" s="382"/>
      <c r="K119" s="382"/>
      <c r="L119" s="382"/>
      <c r="M119" s="382"/>
      <c r="N119" s="382"/>
      <c r="O119" s="382"/>
      <c r="P119" s="382"/>
      <c r="Q119" s="382"/>
      <c r="R119" s="382"/>
      <c r="S119" s="382"/>
    </row>
    <row r="120" spans="1:19" x14ac:dyDescent="0.25">
      <c r="B120" s="383"/>
      <c r="C120" s="383"/>
      <c r="D120" s="383"/>
      <c r="E120" s="383"/>
      <c r="F120" s="381"/>
      <c r="G120" s="381"/>
      <c r="H120" s="381"/>
      <c r="I120" s="381"/>
      <c r="J120" s="381"/>
      <c r="K120" s="381"/>
      <c r="L120" s="381"/>
      <c r="M120" s="381"/>
      <c r="N120" s="381"/>
      <c r="O120" s="381"/>
      <c r="P120" s="381"/>
      <c r="Q120" s="381"/>
      <c r="R120" s="382"/>
      <c r="S120" s="382"/>
    </row>
    <row r="121" spans="1:19" x14ac:dyDescent="0.25">
      <c r="B121" s="383"/>
      <c r="C121" s="383"/>
      <c r="D121" s="383"/>
      <c r="E121" s="383"/>
      <c r="F121" s="381"/>
      <c r="G121" s="381"/>
      <c r="H121" s="381"/>
      <c r="I121" s="381"/>
      <c r="J121" s="381"/>
      <c r="K121" s="381"/>
      <c r="L121" s="381"/>
      <c r="M121" s="381"/>
      <c r="N121" s="381"/>
      <c r="O121" s="381"/>
      <c r="P121" s="381"/>
      <c r="Q121" s="381"/>
      <c r="R121" s="382"/>
      <c r="S121" s="382"/>
    </row>
    <row r="122" spans="1:19" x14ac:dyDescent="0.25">
      <c r="B122" s="383"/>
      <c r="C122" s="383"/>
      <c r="D122" s="383"/>
      <c r="E122" s="383"/>
      <c r="F122" s="381"/>
      <c r="G122" s="381"/>
      <c r="H122" s="381"/>
      <c r="I122" s="381"/>
      <c r="J122" s="381"/>
      <c r="K122" s="381"/>
      <c r="L122" s="381"/>
      <c r="M122" s="381"/>
      <c r="N122" s="381"/>
      <c r="O122" s="381"/>
      <c r="P122" s="381"/>
      <c r="Q122" s="381"/>
      <c r="R122" s="382"/>
    </row>
    <row r="123" spans="1:19" x14ac:dyDescent="0.25">
      <c r="B123" s="383"/>
      <c r="C123" s="383"/>
      <c r="D123" s="383"/>
      <c r="E123" s="383"/>
      <c r="F123" s="381"/>
      <c r="G123" s="381"/>
      <c r="H123" s="381"/>
      <c r="I123" s="381"/>
      <c r="J123" s="381"/>
      <c r="K123" s="381"/>
      <c r="L123" s="381"/>
      <c r="M123" s="381"/>
      <c r="N123" s="381"/>
      <c r="O123" s="381"/>
      <c r="P123" s="381"/>
      <c r="Q123" s="381"/>
      <c r="R123" s="382"/>
    </row>
    <row r="124" spans="1:19" x14ac:dyDescent="0.25">
      <c r="B124" s="383"/>
      <c r="C124" s="383"/>
      <c r="D124" s="383"/>
      <c r="E124" s="383"/>
      <c r="F124" s="381"/>
      <c r="G124" s="381"/>
      <c r="H124" s="381"/>
      <c r="I124" s="381"/>
      <c r="J124" s="381"/>
      <c r="K124" s="381"/>
      <c r="L124" s="381"/>
      <c r="M124" s="381"/>
      <c r="N124" s="381"/>
      <c r="O124" s="381"/>
      <c r="P124" s="381"/>
      <c r="Q124" s="381"/>
      <c r="R124" s="382"/>
    </row>
    <row r="127" spans="1:19" x14ac:dyDescent="0.25">
      <c r="B127" s="386"/>
      <c r="C127" s="383"/>
      <c r="D127" s="387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  <c r="R127" s="382"/>
    </row>
    <row r="128" spans="1:19" x14ac:dyDescent="0.25">
      <c r="B128" s="383"/>
      <c r="C128" s="383"/>
      <c r="D128" s="383"/>
      <c r="E128" s="384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2"/>
      <c r="S128" s="382"/>
    </row>
    <row r="129" spans="2:19" x14ac:dyDescent="0.25">
      <c r="B129" s="383"/>
      <c r="C129" s="383"/>
      <c r="D129" s="383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</row>
    <row r="130" spans="2:19" x14ac:dyDescent="0.25">
      <c r="B130" s="383"/>
      <c r="C130" s="383"/>
      <c r="D130" s="383"/>
      <c r="E130" s="384"/>
      <c r="F130" s="381"/>
      <c r="G130" s="381"/>
      <c r="H130" s="381"/>
      <c r="I130" s="381"/>
      <c r="J130" s="381"/>
      <c r="K130" s="381"/>
      <c r="L130" s="381"/>
      <c r="M130" s="381"/>
      <c r="N130" s="381"/>
      <c r="O130" s="381"/>
      <c r="P130" s="381"/>
      <c r="Q130" s="381"/>
      <c r="R130" s="382"/>
      <c r="S130" s="382"/>
    </row>
    <row r="131" spans="2:19" x14ac:dyDescent="0.25">
      <c r="B131" s="383"/>
      <c r="C131" s="383"/>
      <c r="D131" s="383"/>
      <c r="E131" s="384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2"/>
      <c r="S131" s="382"/>
    </row>
    <row r="132" spans="2:19" x14ac:dyDescent="0.25">
      <c r="B132" s="383"/>
      <c r="C132" s="383"/>
      <c r="D132" s="383"/>
      <c r="E132" s="384"/>
      <c r="F132" s="381"/>
      <c r="G132" s="381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</row>
    <row r="133" spans="2:19" x14ac:dyDescent="0.25">
      <c r="B133" s="383"/>
      <c r="C133" s="383"/>
      <c r="D133" s="383"/>
      <c r="E133" s="384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</row>
    <row r="134" spans="2:19" x14ac:dyDescent="0.25">
      <c r="B134" s="383"/>
      <c r="C134" s="383"/>
      <c r="D134" s="383"/>
      <c r="E134" s="384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81"/>
      <c r="Q134" s="381"/>
      <c r="R134" s="382"/>
    </row>
    <row r="135" spans="2:19" x14ac:dyDescent="0.25">
      <c r="B135" s="386"/>
      <c r="C135" s="383"/>
      <c r="D135" s="387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</row>
    <row r="136" spans="2:19" x14ac:dyDescent="0.25">
      <c r="B136" s="383"/>
      <c r="C136" s="383"/>
      <c r="D136" s="383"/>
      <c r="E136" s="384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</row>
    <row r="137" spans="2:19" x14ac:dyDescent="0.25">
      <c r="B137" s="383"/>
      <c r="C137" s="383"/>
      <c r="D137" s="383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2"/>
      <c r="S137" s="382"/>
    </row>
    <row r="138" spans="2:19" x14ac:dyDescent="0.25">
      <c r="B138" s="383"/>
      <c r="C138" s="383"/>
      <c r="D138" s="383"/>
      <c r="E138" s="383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</row>
    <row r="139" spans="2:19" x14ac:dyDescent="0.25">
      <c r="B139" s="383"/>
      <c r="C139" s="383"/>
      <c r="D139" s="383"/>
      <c r="E139" s="383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</row>
    <row r="140" spans="2:19" x14ac:dyDescent="0.25">
      <c r="B140" s="383"/>
      <c r="C140" s="383"/>
      <c r="D140" s="383"/>
      <c r="E140" s="383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</row>
    <row r="141" spans="2:19" x14ac:dyDescent="0.25">
      <c r="B141" s="383"/>
      <c r="C141" s="383"/>
      <c r="D141" s="383"/>
      <c r="E141" s="383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</row>
    <row r="142" spans="2:19" x14ac:dyDescent="0.25">
      <c r="B142" s="383"/>
      <c r="C142" s="383"/>
      <c r="D142" s="383"/>
      <c r="E142" s="383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</row>
    <row r="145" spans="2:19" x14ac:dyDescent="0.25">
      <c r="B145" s="386"/>
      <c r="C145" s="383"/>
      <c r="D145" s="387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</row>
    <row r="146" spans="2:19" x14ac:dyDescent="0.25">
      <c r="B146" s="383"/>
      <c r="C146" s="383"/>
      <c r="D146" s="383"/>
      <c r="E146" s="384"/>
      <c r="F146" s="381"/>
      <c r="G146" s="381"/>
      <c r="H146" s="381"/>
      <c r="I146" s="381"/>
      <c r="J146" s="381"/>
      <c r="K146" s="381"/>
      <c r="L146" s="381"/>
      <c r="M146" s="381"/>
      <c r="N146" s="381"/>
      <c r="O146" s="381"/>
      <c r="P146" s="381"/>
      <c r="Q146" s="381"/>
      <c r="R146" s="382"/>
      <c r="S146" s="382"/>
    </row>
    <row r="147" spans="2:19" x14ac:dyDescent="0.25">
      <c r="B147" s="383"/>
      <c r="C147" s="383"/>
      <c r="D147" s="383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382"/>
      <c r="Q147" s="382"/>
      <c r="R147" s="382"/>
      <c r="S147" s="382"/>
    </row>
    <row r="148" spans="2:19" x14ac:dyDescent="0.25">
      <c r="B148" s="383"/>
      <c r="C148" s="383"/>
      <c r="D148" s="383"/>
      <c r="E148" s="384"/>
      <c r="F148" s="381"/>
      <c r="G148" s="381"/>
      <c r="H148" s="381"/>
      <c r="I148" s="381"/>
      <c r="J148" s="381"/>
      <c r="K148" s="381"/>
      <c r="L148" s="381"/>
      <c r="M148" s="381"/>
      <c r="N148" s="381"/>
      <c r="O148" s="381"/>
      <c r="P148" s="381"/>
      <c r="Q148" s="381"/>
      <c r="R148" s="382"/>
      <c r="S148" s="382"/>
    </row>
    <row r="149" spans="2:19" x14ac:dyDescent="0.25">
      <c r="B149" s="383"/>
      <c r="C149" s="383"/>
      <c r="D149" s="383"/>
      <c r="E149" s="384"/>
      <c r="F149" s="381"/>
      <c r="G149" s="381"/>
      <c r="H149" s="381"/>
      <c r="I149" s="381"/>
      <c r="J149" s="381"/>
      <c r="K149" s="381"/>
      <c r="L149" s="381"/>
      <c r="M149" s="381"/>
      <c r="N149" s="381"/>
      <c r="O149" s="381"/>
      <c r="P149" s="381"/>
      <c r="Q149" s="381"/>
      <c r="R149" s="382"/>
      <c r="S149" s="382"/>
    </row>
    <row r="150" spans="2:19" x14ac:dyDescent="0.25">
      <c r="B150" s="383"/>
      <c r="C150" s="383"/>
      <c r="D150" s="383"/>
      <c r="E150" s="384"/>
      <c r="F150" s="381"/>
      <c r="G150" s="381"/>
      <c r="H150" s="381"/>
      <c r="I150" s="381"/>
      <c r="J150" s="381"/>
      <c r="K150" s="381"/>
      <c r="L150" s="381"/>
      <c r="M150" s="381"/>
      <c r="N150" s="381"/>
      <c r="O150" s="381"/>
      <c r="P150" s="381"/>
      <c r="Q150" s="381"/>
      <c r="R150" s="382"/>
      <c r="S150" s="382"/>
    </row>
    <row r="151" spans="2:19" x14ac:dyDescent="0.25">
      <c r="B151" s="383"/>
      <c r="C151" s="383"/>
      <c r="D151" s="383"/>
      <c r="E151" s="384"/>
      <c r="F151" s="381"/>
      <c r="G151" s="381"/>
      <c r="H151" s="381"/>
      <c r="I151" s="381"/>
      <c r="J151" s="381"/>
      <c r="K151" s="381"/>
      <c r="L151" s="381"/>
      <c r="M151" s="381"/>
      <c r="N151" s="381"/>
      <c r="O151" s="381"/>
      <c r="P151" s="381"/>
      <c r="Q151" s="381"/>
      <c r="R151" s="382"/>
    </row>
    <row r="152" spans="2:19" x14ac:dyDescent="0.25">
      <c r="B152" s="383"/>
      <c r="C152" s="383"/>
      <c r="D152" s="383"/>
      <c r="E152" s="384"/>
      <c r="F152" s="381"/>
      <c r="G152" s="381"/>
      <c r="H152" s="381"/>
      <c r="I152" s="381"/>
      <c r="J152" s="381"/>
      <c r="K152" s="381"/>
      <c r="L152" s="381"/>
      <c r="M152" s="381"/>
      <c r="N152" s="381"/>
      <c r="O152" s="381"/>
      <c r="P152" s="381"/>
      <c r="Q152" s="381"/>
      <c r="R152" s="382"/>
    </row>
    <row r="153" spans="2:19" x14ac:dyDescent="0.25">
      <c r="C153" s="383"/>
      <c r="F153" s="382"/>
      <c r="G153" s="382"/>
      <c r="H153" s="382"/>
      <c r="I153" s="382"/>
      <c r="J153" s="382"/>
      <c r="K153" s="382"/>
      <c r="L153" s="382"/>
      <c r="M153" s="382"/>
      <c r="N153" s="382"/>
      <c r="O153" s="382"/>
      <c r="P153" s="382"/>
      <c r="Q153" s="382"/>
      <c r="R153" s="382"/>
    </row>
    <row r="154" spans="2:19" x14ac:dyDescent="0.25">
      <c r="B154" s="383"/>
      <c r="C154" s="383"/>
      <c r="D154" s="383"/>
      <c r="E154" s="384"/>
      <c r="F154" s="381"/>
      <c r="G154" s="381"/>
      <c r="H154" s="381"/>
      <c r="I154" s="381"/>
      <c r="J154" s="381"/>
      <c r="K154" s="381"/>
      <c r="L154" s="381"/>
      <c r="M154" s="381"/>
      <c r="N154" s="381"/>
      <c r="O154" s="381"/>
      <c r="P154" s="381"/>
      <c r="Q154" s="381"/>
      <c r="R154" s="382"/>
    </row>
    <row r="155" spans="2:19" x14ac:dyDescent="0.25">
      <c r="B155" s="383"/>
      <c r="C155" s="383"/>
      <c r="D155" s="383"/>
      <c r="E155" s="384"/>
      <c r="F155" s="381"/>
      <c r="G155" s="381"/>
      <c r="H155" s="381"/>
      <c r="I155" s="381"/>
      <c r="J155" s="381"/>
      <c r="K155" s="381"/>
      <c r="L155" s="381"/>
      <c r="M155" s="381"/>
      <c r="N155" s="381"/>
      <c r="O155" s="381"/>
      <c r="P155" s="381"/>
      <c r="Q155" s="381"/>
      <c r="R155" s="382"/>
    </row>
    <row r="156" spans="2:19" x14ac:dyDescent="0.25">
      <c r="B156" s="383"/>
      <c r="C156" s="383"/>
      <c r="D156" s="383"/>
      <c r="E156" s="384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</row>
    <row r="157" spans="2:19" x14ac:dyDescent="0.25">
      <c r="B157" s="383"/>
      <c r="C157" s="383"/>
      <c r="D157" s="383"/>
      <c r="E157" s="384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</row>
    <row r="158" spans="2:19" x14ac:dyDescent="0.25">
      <c r="B158" s="383"/>
      <c r="C158" s="383"/>
      <c r="D158" s="383"/>
      <c r="E158" s="384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</row>
    <row r="159" spans="2:19" x14ac:dyDescent="0.25">
      <c r="B159" s="383"/>
      <c r="C159" s="383"/>
      <c r="D159" s="383"/>
      <c r="E159" s="384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</row>
    <row r="160" spans="2:19" x14ac:dyDescent="0.25">
      <c r="B160" s="383"/>
      <c r="C160" s="383"/>
      <c r="D160" s="383"/>
      <c r="E160" s="384"/>
      <c r="F160" s="381"/>
      <c r="G160" s="381"/>
      <c r="H160" s="381"/>
      <c r="I160" s="381"/>
      <c r="J160" s="381"/>
      <c r="K160" s="381"/>
      <c r="L160" s="381"/>
      <c r="M160" s="381"/>
      <c r="N160" s="381"/>
      <c r="O160" s="381"/>
      <c r="P160" s="381"/>
      <c r="Q160" s="381"/>
      <c r="R160" s="382"/>
    </row>
    <row r="161" spans="2:18" x14ac:dyDescent="0.25">
      <c r="B161" s="383"/>
      <c r="C161" s="383"/>
      <c r="D161" s="383"/>
      <c r="E161" s="384"/>
      <c r="F161" s="381"/>
      <c r="G161" s="381"/>
      <c r="H161" s="381"/>
      <c r="I161" s="381"/>
      <c r="J161" s="381"/>
      <c r="K161" s="381"/>
      <c r="L161" s="381"/>
      <c r="M161" s="381"/>
      <c r="N161" s="381"/>
      <c r="O161" s="381"/>
      <c r="P161" s="381"/>
      <c r="Q161" s="381"/>
      <c r="R161" s="382"/>
    </row>
    <row r="162" spans="2:18" x14ac:dyDescent="0.25">
      <c r="B162" s="383"/>
      <c r="C162" s="383"/>
      <c r="D162" s="383"/>
      <c r="E162" s="384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</row>
    <row r="163" spans="2:18" x14ac:dyDescent="0.25">
      <c r="B163" s="383"/>
      <c r="C163" s="383"/>
      <c r="D163" s="383"/>
      <c r="E163" s="384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</row>
    <row r="164" spans="2:18" x14ac:dyDescent="0.25">
      <c r="B164" s="383"/>
      <c r="C164" s="383"/>
      <c r="D164" s="383"/>
      <c r="E164" s="384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</row>
    <row r="165" spans="2:18" x14ac:dyDescent="0.25">
      <c r="B165" s="383"/>
      <c r="C165" s="383"/>
      <c r="D165" s="383"/>
      <c r="E165" s="384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</row>
    <row r="166" spans="2:18" x14ac:dyDescent="0.25">
      <c r="B166" s="383"/>
      <c r="C166" s="383"/>
      <c r="D166" s="383"/>
      <c r="E166" s="384"/>
      <c r="F166" s="381"/>
      <c r="G166" s="381"/>
      <c r="H166" s="381"/>
      <c r="I166" s="381"/>
      <c r="J166" s="381"/>
      <c r="K166" s="381"/>
      <c r="L166" s="381"/>
      <c r="M166" s="381"/>
      <c r="N166" s="381"/>
      <c r="O166" s="381"/>
      <c r="P166" s="381"/>
      <c r="Q166" s="381"/>
      <c r="R166" s="382"/>
    </row>
    <row r="167" spans="2:18" x14ac:dyDescent="0.25">
      <c r="B167" s="383"/>
      <c r="C167" s="383"/>
      <c r="D167" s="383"/>
      <c r="E167" s="384"/>
      <c r="F167" s="381"/>
      <c r="G167" s="381"/>
      <c r="H167" s="381"/>
      <c r="I167" s="381"/>
      <c r="J167" s="381"/>
      <c r="K167" s="381"/>
      <c r="L167" s="381"/>
      <c r="M167" s="381"/>
      <c r="N167" s="381"/>
      <c r="O167" s="381"/>
      <c r="P167" s="381"/>
      <c r="Q167" s="381"/>
      <c r="R167" s="382"/>
    </row>
    <row r="168" spans="2:18" x14ac:dyDescent="0.25">
      <c r="B168" s="383"/>
      <c r="C168" s="383"/>
      <c r="D168" s="383"/>
      <c r="E168" s="384"/>
      <c r="F168" s="381"/>
      <c r="G168" s="381"/>
      <c r="H168" s="381"/>
      <c r="I168" s="381"/>
      <c r="J168" s="381"/>
      <c r="K168" s="381"/>
      <c r="L168" s="381"/>
      <c r="M168" s="381"/>
      <c r="N168" s="381"/>
      <c r="O168" s="381"/>
      <c r="P168" s="381"/>
      <c r="Q168" s="381"/>
      <c r="R168" s="382"/>
    </row>
    <row r="169" spans="2:18" x14ac:dyDescent="0.25">
      <c r="B169" s="383"/>
      <c r="C169" s="383"/>
      <c r="D169" s="383"/>
      <c r="E169" s="384"/>
      <c r="F169" s="381"/>
      <c r="G169" s="381"/>
      <c r="H169" s="381"/>
      <c r="I169" s="381"/>
      <c r="J169" s="381"/>
      <c r="K169" s="381"/>
      <c r="L169" s="381"/>
      <c r="M169" s="381"/>
      <c r="N169" s="381"/>
      <c r="O169" s="381"/>
      <c r="P169" s="381"/>
      <c r="Q169" s="381"/>
      <c r="R169" s="382"/>
    </row>
    <row r="170" spans="2:18" x14ac:dyDescent="0.25">
      <c r="B170" s="383"/>
      <c r="C170" s="383"/>
      <c r="D170" s="383"/>
      <c r="E170" s="384"/>
      <c r="F170" s="381"/>
      <c r="G170" s="381"/>
      <c r="H170" s="381"/>
      <c r="I170" s="381"/>
      <c r="J170" s="381"/>
      <c r="K170" s="381"/>
      <c r="L170" s="381"/>
      <c r="M170" s="381"/>
      <c r="N170" s="381"/>
      <c r="O170" s="381"/>
      <c r="P170" s="381"/>
      <c r="Q170" s="381"/>
      <c r="R170" s="382"/>
    </row>
    <row r="171" spans="2:18" x14ac:dyDescent="0.25">
      <c r="B171" s="383"/>
      <c r="C171" s="383"/>
      <c r="D171" s="383"/>
      <c r="E171" s="384"/>
      <c r="F171" s="381"/>
      <c r="G171" s="381"/>
      <c r="H171" s="381"/>
      <c r="I171" s="381"/>
      <c r="J171" s="381"/>
      <c r="K171" s="381"/>
      <c r="L171" s="381"/>
      <c r="M171" s="381"/>
      <c r="N171" s="381"/>
      <c r="O171" s="381"/>
      <c r="P171" s="381"/>
      <c r="Q171" s="381"/>
      <c r="R171" s="382"/>
    </row>
    <row r="172" spans="2:18" x14ac:dyDescent="0.25">
      <c r="B172" s="383"/>
      <c r="C172" s="383"/>
      <c r="D172" s="383"/>
      <c r="E172" s="384"/>
      <c r="F172" s="381"/>
      <c r="G172" s="381"/>
      <c r="H172" s="381"/>
      <c r="I172" s="381"/>
      <c r="J172" s="381"/>
      <c r="K172" s="381"/>
      <c r="L172" s="381"/>
      <c r="M172" s="381"/>
      <c r="N172" s="381"/>
      <c r="O172" s="381"/>
      <c r="P172" s="381"/>
      <c r="Q172" s="381"/>
      <c r="R172" s="382"/>
    </row>
    <row r="173" spans="2:18" x14ac:dyDescent="0.25">
      <c r="B173" s="383"/>
      <c r="C173" s="383"/>
      <c r="D173" s="383"/>
      <c r="E173" s="384"/>
      <c r="F173" s="381"/>
      <c r="G173" s="381"/>
      <c r="H173" s="381"/>
      <c r="I173" s="381"/>
      <c r="J173" s="381"/>
      <c r="K173" s="381"/>
      <c r="L173" s="381"/>
      <c r="M173" s="381"/>
      <c r="N173" s="381"/>
      <c r="O173" s="381"/>
      <c r="P173" s="381"/>
      <c r="Q173" s="381"/>
      <c r="R173" s="382"/>
    </row>
    <row r="174" spans="2:18" x14ac:dyDescent="0.25">
      <c r="B174" s="383"/>
      <c r="C174" s="383"/>
      <c r="D174" s="383"/>
      <c r="E174" s="384"/>
      <c r="F174" s="381"/>
      <c r="G174" s="381"/>
      <c r="H174" s="381"/>
      <c r="I174" s="381"/>
      <c r="J174" s="381"/>
      <c r="K174" s="381"/>
      <c r="L174" s="381"/>
      <c r="M174" s="381"/>
      <c r="N174" s="381"/>
      <c r="O174" s="381"/>
      <c r="P174" s="381"/>
      <c r="Q174" s="381"/>
      <c r="R174" s="382"/>
    </row>
    <row r="175" spans="2:18" x14ac:dyDescent="0.25">
      <c r="B175" s="383"/>
      <c r="C175" s="383"/>
      <c r="D175" s="383"/>
      <c r="E175" s="384"/>
      <c r="F175" s="381"/>
      <c r="G175" s="381"/>
      <c r="H175" s="381"/>
      <c r="I175" s="381"/>
      <c r="J175" s="381"/>
      <c r="K175" s="381"/>
      <c r="L175" s="381"/>
      <c r="M175" s="381"/>
      <c r="N175" s="381"/>
      <c r="O175" s="381"/>
      <c r="P175" s="381"/>
      <c r="Q175" s="381"/>
      <c r="R175" s="382"/>
    </row>
    <row r="176" spans="2:18" x14ac:dyDescent="0.25">
      <c r="B176" s="383"/>
      <c r="C176" s="383"/>
      <c r="D176" s="383"/>
      <c r="E176" s="384"/>
      <c r="F176" s="381"/>
      <c r="G176" s="381"/>
      <c r="H176" s="381"/>
      <c r="I176" s="381"/>
      <c r="J176" s="381"/>
      <c r="K176" s="381"/>
      <c r="L176" s="381"/>
      <c r="M176" s="381"/>
      <c r="N176" s="381"/>
      <c r="O176" s="381"/>
      <c r="P176" s="381"/>
      <c r="Q176" s="381"/>
      <c r="R176" s="382"/>
    </row>
    <row r="177" spans="2:18" x14ac:dyDescent="0.25">
      <c r="B177" s="383"/>
      <c r="C177" s="383"/>
      <c r="D177" s="383"/>
      <c r="E177" s="384"/>
      <c r="F177" s="381"/>
      <c r="G177" s="381"/>
      <c r="H177" s="381"/>
      <c r="I177" s="381"/>
      <c r="J177" s="381"/>
      <c r="K177" s="381"/>
      <c r="L177" s="381"/>
      <c r="M177" s="381"/>
      <c r="N177" s="381"/>
      <c r="O177" s="381"/>
      <c r="P177" s="381"/>
      <c r="Q177" s="381"/>
      <c r="R177" s="382"/>
    </row>
    <row r="178" spans="2:18" x14ac:dyDescent="0.25">
      <c r="B178" s="383"/>
      <c r="C178" s="383"/>
      <c r="D178" s="383"/>
      <c r="E178" s="384"/>
      <c r="F178" s="381"/>
      <c r="G178" s="381"/>
      <c r="H178" s="381"/>
      <c r="I178" s="381"/>
      <c r="J178" s="381"/>
      <c r="K178" s="381"/>
      <c r="L178" s="381"/>
      <c r="M178" s="381"/>
      <c r="N178" s="381"/>
      <c r="O178" s="381"/>
      <c r="P178" s="381"/>
      <c r="Q178" s="381"/>
      <c r="R178" s="382"/>
    </row>
    <row r="179" spans="2:18" x14ac:dyDescent="0.25">
      <c r="B179" s="383"/>
      <c r="C179" s="383"/>
      <c r="D179" s="383"/>
      <c r="E179" s="384"/>
      <c r="F179" s="381"/>
      <c r="G179" s="381"/>
      <c r="H179" s="381"/>
      <c r="I179" s="381"/>
      <c r="J179" s="381"/>
      <c r="K179" s="381"/>
      <c r="L179" s="381"/>
      <c r="M179" s="381"/>
      <c r="N179" s="381"/>
      <c r="O179" s="381"/>
      <c r="P179" s="381"/>
      <c r="Q179" s="381"/>
      <c r="R179" s="382"/>
    </row>
    <row r="180" spans="2:18" x14ac:dyDescent="0.25">
      <c r="B180" s="383"/>
      <c r="C180" s="383"/>
      <c r="D180" s="383"/>
      <c r="E180" s="384"/>
      <c r="F180" s="381"/>
      <c r="G180" s="381"/>
      <c r="H180" s="381"/>
      <c r="I180" s="381"/>
      <c r="J180" s="381"/>
      <c r="K180" s="381"/>
      <c r="L180" s="381"/>
      <c r="M180" s="381"/>
      <c r="N180" s="381"/>
      <c r="O180" s="381"/>
      <c r="P180" s="381"/>
      <c r="Q180" s="381"/>
      <c r="R180" s="382"/>
    </row>
    <row r="181" spans="2:18" x14ac:dyDescent="0.25">
      <c r="B181" s="383"/>
      <c r="C181" s="383"/>
      <c r="D181" s="383"/>
      <c r="E181" s="384"/>
      <c r="F181" s="381"/>
      <c r="G181" s="381"/>
      <c r="H181" s="381"/>
      <c r="I181" s="381"/>
      <c r="J181" s="381"/>
      <c r="K181" s="381"/>
      <c r="L181" s="381"/>
      <c r="M181" s="381"/>
      <c r="N181" s="381"/>
      <c r="O181" s="381"/>
      <c r="P181" s="381"/>
      <c r="Q181" s="381"/>
      <c r="R181" s="382"/>
    </row>
    <row r="182" spans="2:18" x14ac:dyDescent="0.25">
      <c r="B182" s="383"/>
      <c r="C182" s="383"/>
      <c r="D182" s="383"/>
      <c r="E182" s="384"/>
      <c r="F182" s="381"/>
      <c r="G182" s="381"/>
      <c r="H182" s="381"/>
      <c r="I182" s="381"/>
      <c r="J182" s="381"/>
      <c r="K182" s="381"/>
      <c r="L182" s="381"/>
      <c r="M182" s="381"/>
      <c r="N182" s="381"/>
      <c r="O182" s="381"/>
      <c r="P182" s="381"/>
      <c r="Q182" s="381"/>
      <c r="R182" s="382"/>
    </row>
    <row r="183" spans="2:18" x14ac:dyDescent="0.25">
      <c r="B183" s="383"/>
      <c r="C183" s="383"/>
      <c r="D183" s="383"/>
      <c r="E183" s="384"/>
      <c r="F183" s="381"/>
      <c r="G183" s="381"/>
      <c r="H183" s="381"/>
      <c r="I183" s="381"/>
      <c r="J183" s="381"/>
      <c r="K183" s="381"/>
      <c r="L183" s="381"/>
      <c r="M183" s="381"/>
      <c r="N183" s="381"/>
      <c r="O183" s="381"/>
      <c r="P183" s="381"/>
      <c r="Q183" s="381"/>
      <c r="R183" s="382"/>
    </row>
    <row r="184" spans="2:18" x14ac:dyDescent="0.25">
      <c r="B184" s="383"/>
      <c r="C184" s="383"/>
      <c r="D184" s="383"/>
      <c r="E184" s="384"/>
      <c r="F184" s="381"/>
      <c r="G184" s="381"/>
      <c r="H184" s="381"/>
      <c r="I184" s="381"/>
      <c r="J184" s="381"/>
      <c r="K184" s="381"/>
      <c r="L184" s="381"/>
      <c r="M184" s="381"/>
      <c r="N184" s="381"/>
      <c r="O184" s="381"/>
      <c r="P184" s="381"/>
      <c r="Q184" s="381"/>
      <c r="R184" s="382"/>
    </row>
    <row r="185" spans="2:18" x14ac:dyDescent="0.25">
      <c r="B185" s="383"/>
      <c r="C185" s="383"/>
      <c r="D185" s="383"/>
      <c r="E185" s="384"/>
      <c r="F185" s="381"/>
      <c r="G185" s="381"/>
      <c r="H185" s="381"/>
      <c r="I185" s="381"/>
      <c r="J185" s="381"/>
      <c r="K185" s="381"/>
      <c r="L185" s="381"/>
      <c r="M185" s="381"/>
      <c r="N185" s="381"/>
      <c r="O185" s="381"/>
      <c r="P185" s="381"/>
      <c r="Q185" s="381"/>
      <c r="R185" s="382"/>
    </row>
    <row r="186" spans="2:18" x14ac:dyDescent="0.25">
      <c r="B186" s="383"/>
      <c r="C186" s="383"/>
      <c r="D186" s="383"/>
      <c r="E186" s="384"/>
      <c r="F186" s="381"/>
      <c r="G186" s="381"/>
      <c r="H186" s="381"/>
      <c r="I186" s="381"/>
      <c r="J186" s="381"/>
      <c r="K186" s="381"/>
      <c r="L186" s="381"/>
      <c r="M186" s="381"/>
      <c r="N186" s="381"/>
      <c r="O186" s="381"/>
      <c r="P186" s="381"/>
      <c r="Q186" s="381"/>
      <c r="R186" s="382"/>
    </row>
    <row r="187" spans="2:18" x14ac:dyDescent="0.25">
      <c r="B187" s="383"/>
      <c r="C187" s="383"/>
      <c r="D187" s="383"/>
      <c r="E187" s="384"/>
      <c r="F187" s="381"/>
      <c r="G187" s="381"/>
      <c r="H187" s="381"/>
      <c r="I187" s="381"/>
      <c r="J187" s="381"/>
      <c r="K187" s="381"/>
      <c r="L187" s="381"/>
      <c r="M187" s="381"/>
      <c r="N187" s="381"/>
      <c r="O187" s="381"/>
      <c r="P187" s="381"/>
      <c r="Q187" s="381"/>
      <c r="R187" s="382"/>
    </row>
    <row r="188" spans="2:18" x14ac:dyDescent="0.25">
      <c r="B188" s="383"/>
      <c r="C188" s="383"/>
      <c r="D188" s="383"/>
      <c r="E188" s="384"/>
      <c r="F188" s="381"/>
      <c r="G188" s="381"/>
      <c r="H188" s="381"/>
      <c r="I188" s="381"/>
      <c r="J188" s="381"/>
      <c r="K188" s="381"/>
      <c r="L188" s="381"/>
      <c r="M188" s="381"/>
      <c r="N188" s="381"/>
      <c r="O188" s="381"/>
      <c r="P188" s="381"/>
      <c r="Q188" s="381"/>
      <c r="R188" s="382"/>
    </row>
    <row r="189" spans="2:18" x14ac:dyDescent="0.25">
      <c r="B189" s="383"/>
      <c r="C189" s="383"/>
      <c r="D189" s="383"/>
      <c r="E189" s="384"/>
      <c r="F189" s="381"/>
      <c r="G189" s="381"/>
      <c r="H189" s="381"/>
      <c r="I189" s="381"/>
      <c r="J189" s="381"/>
      <c r="K189" s="381"/>
      <c r="L189" s="381"/>
      <c r="M189" s="381"/>
      <c r="N189" s="381"/>
      <c r="O189" s="381"/>
      <c r="P189" s="381"/>
      <c r="Q189" s="381"/>
      <c r="R189" s="382"/>
    </row>
    <row r="190" spans="2:18" x14ac:dyDescent="0.25">
      <c r="B190" s="383"/>
      <c r="C190" s="383"/>
      <c r="D190" s="383"/>
      <c r="E190" s="384"/>
      <c r="F190" s="381"/>
      <c r="G190" s="381"/>
      <c r="H190" s="381"/>
      <c r="I190" s="381"/>
      <c r="J190" s="381"/>
      <c r="K190" s="381"/>
      <c r="L190" s="381"/>
      <c r="M190" s="381"/>
      <c r="N190" s="381"/>
      <c r="O190" s="381"/>
      <c r="P190" s="381"/>
      <c r="Q190" s="381"/>
      <c r="R190" s="382"/>
    </row>
    <row r="191" spans="2:18" x14ac:dyDescent="0.25">
      <c r="B191" s="383"/>
      <c r="C191" s="383"/>
      <c r="D191" s="383"/>
      <c r="E191" s="384"/>
      <c r="F191" s="381"/>
      <c r="G191" s="381"/>
      <c r="H191" s="381"/>
      <c r="I191" s="381"/>
      <c r="J191" s="381"/>
      <c r="K191" s="381"/>
      <c r="L191" s="381"/>
      <c r="M191" s="381"/>
      <c r="N191" s="381"/>
      <c r="O191" s="381"/>
      <c r="P191" s="381"/>
      <c r="Q191" s="381"/>
      <c r="R191" s="382"/>
    </row>
    <row r="192" spans="2:18" x14ac:dyDescent="0.25">
      <c r="B192" s="383"/>
      <c r="C192" s="383"/>
      <c r="D192" s="383"/>
      <c r="E192" s="384"/>
      <c r="F192" s="381"/>
      <c r="G192" s="381"/>
      <c r="H192" s="381"/>
      <c r="I192" s="381"/>
      <c r="J192" s="381"/>
      <c r="K192" s="381"/>
      <c r="L192" s="381"/>
      <c r="M192" s="381"/>
      <c r="N192" s="381"/>
      <c r="O192" s="381"/>
      <c r="P192" s="381"/>
      <c r="Q192" s="381"/>
      <c r="R192" s="382"/>
    </row>
    <row r="193" spans="2:18" x14ac:dyDescent="0.25">
      <c r="B193" s="383"/>
      <c r="C193" s="383"/>
      <c r="D193" s="383"/>
      <c r="E193" s="384"/>
      <c r="F193" s="381"/>
      <c r="G193" s="381"/>
      <c r="H193" s="381"/>
      <c r="I193" s="381"/>
      <c r="J193" s="381"/>
      <c r="K193" s="381"/>
      <c r="L193" s="381"/>
      <c r="M193" s="381"/>
      <c r="N193" s="381"/>
      <c r="O193" s="381"/>
      <c r="P193" s="381"/>
      <c r="Q193" s="381"/>
      <c r="R193" s="382"/>
    </row>
    <row r="194" spans="2:18" x14ac:dyDescent="0.25">
      <c r="B194" s="383"/>
      <c r="C194" s="383"/>
      <c r="D194" s="383"/>
      <c r="E194" s="384"/>
      <c r="F194" s="381"/>
      <c r="G194" s="381"/>
      <c r="H194" s="381"/>
      <c r="I194" s="381"/>
      <c r="J194" s="381"/>
      <c r="K194" s="381"/>
      <c r="L194" s="381"/>
      <c r="M194" s="381"/>
      <c r="N194" s="381"/>
      <c r="O194" s="381"/>
      <c r="P194" s="381"/>
      <c r="Q194" s="381"/>
      <c r="R194" s="382"/>
    </row>
    <row r="195" spans="2:18" x14ac:dyDescent="0.25">
      <c r="B195" s="383"/>
      <c r="C195" s="383"/>
      <c r="D195" s="383"/>
      <c r="E195" s="384"/>
      <c r="F195" s="381"/>
      <c r="G195" s="381"/>
      <c r="H195" s="381"/>
      <c r="I195" s="381"/>
      <c r="J195" s="381"/>
      <c r="K195" s="381"/>
      <c r="L195" s="381"/>
      <c r="M195" s="381"/>
      <c r="N195" s="381"/>
      <c r="O195" s="381"/>
      <c r="P195" s="381"/>
      <c r="Q195" s="381"/>
      <c r="R195" s="382"/>
    </row>
    <row r="196" spans="2:18" x14ac:dyDescent="0.25">
      <c r="B196" s="383"/>
      <c r="C196" s="383"/>
      <c r="D196" s="383"/>
      <c r="E196" s="384"/>
      <c r="F196" s="381"/>
      <c r="G196" s="381"/>
      <c r="H196" s="381"/>
      <c r="I196" s="381"/>
      <c r="J196" s="381"/>
      <c r="K196" s="381"/>
      <c r="L196" s="381"/>
      <c r="M196" s="381"/>
      <c r="N196" s="381"/>
      <c r="O196" s="381"/>
      <c r="P196" s="381"/>
      <c r="Q196" s="381"/>
      <c r="R196" s="382"/>
    </row>
    <row r="197" spans="2:18" x14ac:dyDescent="0.25">
      <c r="B197" s="383"/>
      <c r="C197" s="383"/>
      <c r="D197" s="383"/>
      <c r="E197" s="384"/>
      <c r="F197" s="381"/>
      <c r="G197" s="381"/>
      <c r="H197" s="381"/>
      <c r="I197" s="381"/>
      <c r="J197" s="381"/>
      <c r="K197" s="381"/>
      <c r="L197" s="381"/>
      <c r="M197" s="381"/>
      <c r="N197" s="381"/>
      <c r="O197" s="381"/>
      <c r="P197" s="381"/>
      <c r="Q197" s="381"/>
      <c r="R197" s="382"/>
    </row>
    <row r="198" spans="2:18" x14ac:dyDescent="0.25">
      <c r="B198" s="383"/>
      <c r="C198" s="383"/>
      <c r="D198" s="383"/>
      <c r="E198" s="384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2"/>
    </row>
    <row r="199" spans="2:18" x14ac:dyDescent="0.25">
      <c r="B199" s="383"/>
      <c r="C199" s="383"/>
      <c r="D199" s="383"/>
      <c r="E199" s="384"/>
      <c r="F199" s="381"/>
      <c r="G199" s="381"/>
      <c r="H199" s="381"/>
      <c r="I199" s="381"/>
      <c r="J199" s="381"/>
      <c r="K199" s="381"/>
      <c r="L199" s="381"/>
      <c r="M199" s="381"/>
      <c r="N199" s="381"/>
      <c r="O199" s="381"/>
      <c r="P199" s="381"/>
      <c r="Q199" s="381"/>
      <c r="R199" s="382"/>
    </row>
    <row r="200" spans="2:18" x14ac:dyDescent="0.25">
      <c r="B200" s="383"/>
      <c r="C200" s="383"/>
      <c r="D200" s="383"/>
      <c r="E200" s="384"/>
      <c r="F200" s="381"/>
      <c r="G200" s="381"/>
      <c r="H200" s="381"/>
      <c r="I200" s="381"/>
      <c r="J200" s="381"/>
      <c r="K200" s="381"/>
      <c r="L200" s="381"/>
      <c r="M200" s="381"/>
      <c r="N200" s="381"/>
      <c r="O200" s="381"/>
      <c r="P200" s="381"/>
      <c r="Q200" s="381"/>
      <c r="R200" s="382"/>
    </row>
    <row r="201" spans="2:18" x14ac:dyDescent="0.25">
      <c r="B201" s="383"/>
      <c r="C201" s="383"/>
      <c r="D201" s="383"/>
      <c r="E201" s="384"/>
      <c r="F201" s="381"/>
      <c r="G201" s="381"/>
      <c r="H201" s="381"/>
      <c r="I201" s="381"/>
      <c r="J201" s="381"/>
      <c r="K201" s="381"/>
      <c r="L201" s="381"/>
      <c r="M201" s="381"/>
      <c r="N201" s="381"/>
      <c r="O201" s="381"/>
      <c r="P201" s="381"/>
      <c r="Q201" s="381"/>
      <c r="R201" s="382"/>
    </row>
    <row r="202" spans="2:18" x14ac:dyDescent="0.25">
      <c r="B202" s="383"/>
      <c r="C202" s="383"/>
      <c r="D202" s="383"/>
      <c r="E202" s="384"/>
      <c r="F202" s="381"/>
      <c r="G202" s="381"/>
      <c r="H202" s="381"/>
      <c r="I202" s="381"/>
      <c r="J202" s="381"/>
      <c r="K202" s="381"/>
      <c r="L202" s="381"/>
      <c r="M202" s="381"/>
      <c r="N202" s="381"/>
      <c r="O202" s="381"/>
      <c r="P202" s="381"/>
      <c r="Q202" s="381"/>
      <c r="R202" s="382"/>
    </row>
    <row r="203" spans="2:18" x14ac:dyDescent="0.25">
      <c r="B203" s="383"/>
      <c r="C203" s="383"/>
      <c r="D203" s="383"/>
      <c r="E203" s="384"/>
      <c r="F203" s="381"/>
      <c r="G203" s="381"/>
      <c r="H203" s="381"/>
      <c r="I203" s="381"/>
      <c r="J203" s="381"/>
      <c r="K203" s="381"/>
      <c r="L203" s="381"/>
      <c r="M203" s="381"/>
      <c r="N203" s="381"/>
      <c r="O203" s="381"/>
      <c r="P203" s="381"/>
      <c r="Q203" s="381"/>
      <c r="R203" s="382"/>
    </row>
    <row r="204" spans="2:18" x14ac:dyDescent="0.25">
      <c r="B204" s="383"/>
      <c r="C204" s="383"/>
      <c r="D204" s="383"/>
      <c r="E204" s="384"/>
      <c r="F204" s="381"/>
      <c r="G204" s="381"/>
      <c r="H204" s="381"/>
      <c r="I204" s="381"/>
      <c r="J204" s="381"/>
      <c r="K204" s="381"/>
      <c r="L204" s="381"/>
      <c r="M204" s="381"/>
      <c r="N204" s="381"/>
      <c r="O204" s="381"/>
      <c r="P204" s="381"/>
      <c r="Q204" s="381"/>
      <c r="R204" s="382"/>
    </row>
    <row r="205" spans="2:18" x14ac:dyDescent="0.25">
      <c r="B205" s="383"/>
      <c r="C205" s="383"/>
      <c r="D205" s="383"/>
      <c r="E205" s="384"/>
      <c r="F205" s="381"/>
      <c r="G205" s="381"/>
      <c r="H205" s="381"/>
      <c r="I205" s="381"/>
      <c r="J205" s="381"/>
      <c r="K205" s="381"/>
      <c r="L205" s="381"/>
      <c r="M205" s="381"/>
      <c r="N205" s="381"/>
      <c r="O205" s="381"/>
      <c r="P205" s="381"/>
      <c r="Q205" s="381"/>
      <c r="R205" s="382"/>
    </row>
    <row r="206" spans="2:18" x14ac:dyDescent="0.25">
      <c r="B206" s="383"/>
      <c r="C206" s="383"/>
      <c r="D206" s="383"/>
      <c r="E206" s="384"/>
      <c r="F206" s="381"/>
      <c r="G206" s="381"/>
      <c r="H206" s="381"/>
      <c r="I206" s="381"/>
      <c r="J206" s="381"/>
      <c r="K206" s="381"/>
      <c r="L206" s="381"/>
      <c r="M206" s="381"/>
      <c r="N206" s="381"/>
      <c r="O206" s="381"/>
      <c r="P206" s="381"/>
      <c r="Q206" s="381"/>
      <c r="R206" s="382"/>
    </row>
    <row r="207" spans="2:18" x14ac:dyDescent="0.25">
      <c r="B207" s="383"/>
      <c r="C207" s="383"/>
      <c r="D207" s="383"/>
      <c r="E207" s="384"/>
      <c r="F207" s="381"/>
      <c r="G207" s="381"/>
      <c r="H207" s="381"/>
      <c r="I207" s="381"/>
      <c r="J207" s="381"/>
      <c r="K207" s="381"/>
      <c r="L207" s="381"/>
      <c r="M207" s="381"/>
      <c r="N207" s="381"/>
      <c r="O207" s="381"/>
      <c r="P207" s="381"/>
      <c r="Q207" s="381"/>
      <c r="R207" s="382"/>
    </row>
    <row r="208" spans="2:18" x14ac:dyDescent="0.25">
      <c r="B208" s="383"/>
      <c r="C208" s="383"/>
      <c r="D208" s="383"/>
      <c r="E208" s="384"/>
      <c r="F208" s="381"/>
      <c r="G208" s="381"/>
      <c r="H208" s="381"/>
      <c r="I208" s="381"/>
      <c r="J208" s="381"/>
      <c r="K208" s="381"/>
      <c r="L208" s="381"/>
      <c r="M208" s="381"/>
      <c r="N208" s="381"/>
      <c r="O208" s="381"/>
      <c r="P208" s="381"/>
      <c r="Q208" s="381"/>
      <c r="R208" s="382"/>
    </row>
    <row r="209" spans="2:19" x14ac:dyDescent="0.25">
      <c r="B209" s="383"/>
      <c r="C209" s="383"/>
      <c r="D209" s="383"/>
      <c r="E209" s="384"/>
      <c r="F209" s="381"/>
      <c r="G209" s="381"/>
      <c r="H209" s="381"/>
      <c r="I209" s="381"/>
      <c r="J209" s="381"/>
      <c r="K209" s="381"/>
      <c r="L209" s="381"/>
      <c r="M209" s="381"/>
      <c r="N209" s="381"/>
      <c r="O209" s="381"/>
      <c r="P209" s="381"/>
      <c r="Q209" s="381"/>
      <c r="R209" s="382"/>
    </row>
    <row r="210" spans="2:19" x14ac:dyDescent="0.25">
      <c r="B210" s="383"/>
      <c r="C210" s="383"/>
      <c r="D210" s="383"/>
      <c r="E210" s="384"/>
      <c r="F210" s="381"/>
      <c r="G210" s="381"/>
      <c r="H210" s="381"/>
      <c r="I210" s="381"/>
      <c r="J210" s="381"/>
      <c r="K210" s="381"/>
      <c r="L210" s="381"/>
      <c r="M210" s="381"/>
      <c r="N210" s="381"/>
      <c r="O210" s="381"/>
      <c r="P210" s="381"/>
      <c r="Q210" s="381"/>
      <c r="R210" s="382"/>
    </row>
    <row r="211" spans="2:19" x14ac:dyDescent="0.25">
      <c r="B211" s="383"/>
      <c r="C211" s="383"/>
      <c r="D211" s="383"/>
      <c r="E211" s="384"/>
      <c r="F211" s="381"/>
      <c r="G211" s="381"/>
      <c r="H211" s="381"/>
      <c r="I211" s="381"/>
      <c r="J211" s="381"/>
      <c r="K211" s="381"/>
      <c r="L211" s="381"/>
      <c r="M211" s="381"/>
      <c r="N211" s="381"/>
      <c r="O211" s="381"/>
      <c r="P211" s="381"/>
      <c r="Q211" s="381"/>
      <c r="R211" s="382"/>
    </row>
    <row r="212" spans="2:19" x14ac:dyDescent="0.25">
      <c r="B212" s="383"/>
      <c r="C212" s="383"/>
      <c r="D212" s="383"/>
      <c r="E212" s="384"/>
      <c r="F212" s="381"/>
      <c r="G212" s="381"/>
      <c r="H212" s="381"/>
      <c r="I212" s="381"/>
      <c r="J212" s="381"/>
      <c r="K212" s="381"/>
      <c r="L212" s="381"/>
      <c r="M212" s="381"/>
      <c r="N212" s="381"/>
      <c r="O212" s="381"/>
      <c r="P212" s="381"/>
      <c r="Q212" s="381"/>
      <c r="R212" s="382"/>
      <c r="S212" s="382"/>
    </row>
    <row r="213" spans="2:19" x14ac:dyDescent="0.25">
      <c r="B213" s="383"/>
      <c r="C213" s="383"/>
      <c r="D213" s="383"/>
      <c r="E213" s="384"/>
      <c r="F213" s="381"/>
      <c r="G213" s="381"/>
      <c r="H213" s="381"/>
      <c r="I213" s="381"/>
      <c r="J213" s="381"/>
      <c r="K213" s="381"/>
      <c r="L213" s="381"/>
      <c r="M213" s="381"/>
      <c r="N213" s="381"/>
      <c r="O213" s="381"/>
      <c r="P213" s="381"/>
      <c r="Q213" s="381"/>
      <c r="R213" s="382"/>
      <c r="S213" s="382"/>
    </row>
    <row r="214" spans="2:19" x14ac:dyDescent="0.25">
      <c r="B214" s="383"/>
      <c r="C214" s="383"/>
      <c r="D214" s="383"/>
      <c r="E214" s="384"/>
      <c r="F214" s="381"/>
      <c r="G214" s="381"/>
      <c r="H214" s="381"/>
      <c r="I214" s="381"/>
      <c r="J214" s="381"/>
      <c r="K214" s="381"/>
      <c r="L214" s="381"/>
      <c r="M214" s="381"/>
      <c r="N214" s="381"/>
      <c r="O214" s="381"/>
      <c r="P214" s="381"/>
      <c r="Q214" s="381"/>
      <c r="R214" s="382"/>
      <c r="S214" s="382"/>
    </row>
    <row r="215" spans="2:19" x14ac:dyDescent="0.25">
      <c r="B215" s="383"/>
      <c r="C215" s="383"/>
      <c r="D215" s="383"/>
      <c r="E215" s="384"/>
      <c r="F215" s="381"/>
      <c r="G215" s="381"/>
      <c r="H215" s="381"/>
      <c r="I215" s="381"/>
      <c r="J215" s="381"/>
      <c r="K215" s="381"/>
      <c r="L215" s="381"/>
      <c r="M215" s="381"/>
      <c r="N215" s="381"/>
      <c r="O215" s="381"/>
      <c r="P215" s="381"/>
      <c r="Q215" s="381"/>
      <c r="R215" s="382"/>
      <c r="S215" s="382"/>
    </row>
    <row r="216" spans="2:19" ht="12" customHeight="1" x14ac:dyDescent="0.25">
      <c r="B216" s="383"/>
      <c r="C216" s="383"/>
      <c r="D216" s="383"/>
      <c r="E216" s="384"/>
      <c r="F216" s="381"/>
      <c r="G216" s="381"/>
      <c r="H216" s="381"/>
      <c r="I216" s="381"/>
      <c r="J216" s="381"/>
      <c r="K216" s="381"/>
      <c r="L216" s="381"/>
      <c r="M216" s="381"/>
      <c r="N216" s="381"/>
      <c r="O216" s="381"/>
      <c r="P216" s="381"/>
      <c r="Q216" s="381"/>
      <c r="R216" s="382"/>
      <c r="S216" s="382"/>
    </row>
    <row r="217" spans="2:19" x14ac:dyDescent="0.25">
      <c r="B217" s="383"/>
      <c r="C217" s="383"/>
      <c r="D217" s="383"/>
      <c r="E217" s="384"/>
      <c r="F217" s="381"/>
      <c r="G217" s="381"/>
      <c r="H217" s="381"/>
      <c r="I217" s="381"/>
      <c r="J217" s="381"/>
      <c r="K217" s="381"/>
      <c r="L217" s="381"/>
      <c r="M217" s="381"/>
      <c r="N217" s="381"/>
      <c r="O217" s="381"/>
      <c r="P217" s="381"/>
      <c r="Q217" s="381"/>
      <c r="R217" s="382"/>
    </row>
    <row r="226" spans="6:18" x14ac:dyDescent="0.25">
      <c r="F226" s="395"/>
      <c r="G226" s="395"/>
      <c r="H226" s="395"/>
      <c r="I226" s="395"/>
      <c r="J226" s="395"/>
      <c r="K226" s="395"/>
      <c r="L226" s="395"/>
      <c r="M226" s="395"/>
      <c r="N226" s="395"/>
      <c r="O226" s="395"/>
      <c r="P226" s="395"/>
      <c r="Q226" s="395"/>
      <c r="R226" s="395"/>
    </row>
    <row r="227" spans="6:18" x14ac:dyDescent="0.25">
      <c r="F227" s="395"/>
      <c r="G227" s="395"/>
      <c r="H227" s="395"/>
      <c r="I227" s="395"/>
      <c r="J227" s="395"/>
      <c r="K227" s="395"/>
      <c r="L227" s="395"/>
      <c r="M227" s="395"/>
      <c r="N227" s="395"/>
      <c r="O227" s="395"/>
      <c r="P227" s="395"/>
      <c r="Q227" s="395"/>
      <c r="R227" s="395"/>
    </row>
    <row r="228" spans="6:18" x14ac:dyDescent="0.25">
      <c r="F228" s="396"/>
      <c r="G228" s="396"/>
      <c r="H228" s="396"/>
      <c r="I228" s="396"/>
      <c r="J228" s="396"/>
      <c r="K228" s="396"/>
      <c r="L228" s="396"/>
      <c r="M228" s="396"/>
      <c r="N228" s="396"/>
      <c r="O228" s="396"/>
      <c r="P228" s="396"/>
      <c r="Q228" s="396"/>
    </row>
    <row r="229" spans="6:18" x14ac:dyDescent="0.25">
      <c r="F229" s="397"/>
      <c r="G229" s="397"/>
      <c r="H229" s="397"/>
      <c r="I229" s="397"/>
      <c r="J229" s="397"/>
      <c r="K229" s="397"/>
      <c r="L229" s="397"/>
      <c r="M229" s="397"/>
      <c r="N229" s="397"/>
      <c r="O229" s="397"/>
      <c r="P229" s="397"/>
      <c r="Q229" s="397"/>
    </row>
    <row r="230" spans="6:18" x14ac:dyDescent="0.25">
      <c r="F230" s="396"/>
      <c r="G230" s="396"/>
      <c r="H230" s="396"/>
      <c r="I230" s="396"/>
      <c r="J230" s="396"/>
      <c r="K230" s="396"/>
      <c r="L230" s="396"/>
      <c r="M230" s="396"/>
      <c r="N230" s="396"/>
      <c r="O230" s="396"/>
      <c r="P230" s="396"/>
      <c r="Q230" s="396"/>
    </row>
    <row r="232" spans="6:18" x14ac:dyDescent="0.25">
      <c r="F232" s="395"/>
      <c r="G232" s="395"/>
      <c r="H232" s="395"/>
      <c r="I232" s="395"/>
      <c r="J232" s="395"/>
      <c r="K232" s="395"/>
      <c r="L232" s="395"/>
      <c r="M232" s="395"/>
      <c r="N232" s="395"/>
      <c r="O232" s="395"/>
      <c r="P232" s="395"/>
      <c r="Q232" s="395"/>
    </row>
    <row r="233" spans="6:18" x14ac:dyDescent="0.25">
      <c r="F233" s="397"/>
      <c r="G233" s="397"/>
      <c r="H233" s="397"/>
      <c r="I233" s="397"/>
      <c r="J233" s="397"/>
      <c r="K233" s="397"/>
      <c r="L233" s="397"/>
      <c r="M233" s="397"/>
      <c r="N233" s="397"/>
      <c r="O233" s="397"/>
      <c r="P233" s="397"/>
      <c r="Q233" s="397"/>
    </row>
    <row r="234" spans="6:18" x14ac:dyDescent="0.25">
      <c r="F234" s="396"/>
      <c r="G234" s="396"/>
      <c r="H234" s="396"/>
      <c r="I234" s="396"/>
      <c r="J234" s="396"/>
      <c r="K234" s="396"/>
      <c r="L234" s="396"/>
      <c r="M234" s="396"/>
      <c r="N234" s="396"/>
      <c r="O234" s="396"/>
      <c r="P234" s="396"/>
      <c r="Q234" s="396"/>
    </row>
    <row r="236" spans="6:18" x14ac:dyDescent="0.25">
      <c r="F236" s="398"/>
      <c r="G236" s="398"/>
      <c r="H236" s="398"/>
      <c r="I236" s="398"/>
      <c r="J236" s="398"/>
      <c r="K236" s="398"/>
      <c r="L236" s="398"/>
      <c r="M236" s="398"/>
      <c r="N236" s="398"/>
      <c r="O236" s="398"/>
      <c r="P236" s="398"/>
      <c r="Q236" s="398"/>
    </row>
    <row r="238" spans="6:18" x14ac:dyDescent="0.25">
      <c r="F238" s="395"/>
      <c r="G238" s="395"/>
      <c r="H238" s="395"/>
      <c r="I238" s="395"/>
      <c r="J238" s="395"/>
      <c r="K238" s="395"/>
      <c r="L238" s="395"/>
      <c r="M238" s="395"/>
      <c r="N238" s="395"/>
      <c r="O238" s="395"/>
      <c r="P238" s="395"/>
      <c r="Q238" s="395"/>
      <c r="R238" s="396"/>
    </row>
    <row r="239" spans="6:18" x14ac:dyDescent="0.25">
      <c r="F239" s="395"/>
      <c r="G239" s="395"/>
      <c r="H239" s="395"/>
      <c r="I239" s="395"/>
      <c r="J239" s="395"/>
      <c r="K239" s="395"/>
      <c r="L239" s="395"/>
      <c r="M239" s="395"/>
      <c r="N239" s="395"/>
      <c r="O239" s="395"/>
      <c r="P239" s="395"/>
      <c r="Q239" s="395"/>
      <c r="R239" s="395"/>
    </row>
    <row r="240" spans="6:18" x14ac:dyDescent="0.25">
      <c r="F240" s="396"/>
      <c r="G240" s="396"/>
      <c r="H240" s="396"/>
      <c r="I240" s="396"/>
      <c r="J240" s="396"/>
      <c r="K240" s="396"/>
      <c r="L240" s="396"/>
      <c r="M240" s="396"/>
      <c r="N240" s="396"/>
      <c r="O240" s="396"/>
      <c r="P240" s="396"/>
      <c r="Q240" s="396"/>
    </row>
    <row r="241" spans="6:18" x14ac:dyDescent="0.25">
      <c r="F241" s="397"/>
      <c r="G241" s="397"/>
      <c r="H241" s="397"/>
      <c r="I241" s="397"/>
      <c r="J241" s="397"/>
      <c r="K241" s="397"/>
      <c r="L241" s="397"/>
      <c r="M241" s="397"/>
      <c r="N241" s="397"/>
      <c r="O241" s="397"/>
      <c r="P241" s="397"/>
      <c r="Q241" s="397"/>
    </row>
    <row r="242" spans="6:18" x14ac:dyDescent="0.25">
      <c r="F242" s="396"/>
      <c r="G242" s="396"/>
      <c r="H242" s="396"/>
      <c r="I242" s="396"/>
      <c r="J242" s="396"/>
      <c r="K242" s="396"/>
      <c r="L242" s="396"/>
      <c r="M242" s="396"/>
      <c r="N242" s="396"/>
      <c r="O242" s="396"/>
      <c r="P242" s="396"/>
      <c r="Q242" s="396"/>
      <c r="R242" s="396"/>
    </row>
    <row r="244" spans="6:18" x14ac:dyDescent="0.25">
      <c r="F244" s="396"/>
      <c r="G244" s="396"/>
      <c r="H244" s="396"/>
      <c r="I244" s="396"/>
      <c r="J244" s="396"/>
      <c r="K244" s="396"/>
      <c r="L244" s="396"/>
      <c r="M244" s="396"/>
      <c r="N244" s="396"/>
      <c r="O244" s="396"/>
      <c r="P244" s="396"/>
      <c r="Q244" s="396"/>
      <c r="R244" s="396"/>
    </row>
  </sheetData>
  <mergeCells count="3">
    <mergeCell ref="A3:R3"/>
    <mergeCell ref="A2:R2"/>
    <mergeCell ref="A1:R1"/>
  </mergeCells>
  <phoneticPr fontId="0" type="noConversion"/>
  <printOptions horizontalCentered="1"/>
  <pageMargins left="1" right="1" top="1" bottom="1" header="0.5" footer="0.5"/>
  <pageSetup scale="35" orientation="portrait" r:id="rId1"/>
  <headerFooter alignWithMargins="0">
    <oddHeader>&amp;RKY PSC Case No. 2016-0016
Attachment A to PSC 3-3(b)</oddHeader>
  </headerFooter>
  <rowBreaks count="1" manualBreakCount="1">
    <brk id="594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7"/>
  <dimension ref="A1:R104"/>
  <sheetViews>
    <sheetView tabSelected="1" zoomScale="69" zoomScaleNormal="69" zoomScaleSheetLayoutView="70" workbookViewId="0">
      <selection sqref="A1:T93"/>
    </sheetView>
  </sheetViews>
  <sheetFormatPr defaultColWidth="10" defaultRowHeight="15" x14ac:dyDescent="0.25"/>
  <cols>
    <col min="1" max="1" width="9" style="44" customWidth="1"/>
    <col min="2" max="2" width="52.33203125" style="44" customWidth="1"/>
    <col min="3" max="4" width="23.83203125" style="44" bestFit="1" customWidth="1"/>
    <col min="5" max="14" width="21.83203125" style="44" customWidth="1"/>
    <col min="15" max="15" width="24" style="44" customWidth="1"/>
    <col min="16" max="16" width="23.83203125" style="44" bestFit="1" customWidth="1"/>
    <col min="17" max="17" width="24.83203125" style="44" bestFit="1" customWidth="1"/>
    <col min="18" max="18" width="15.6640625" style="44" customWidth="1"/>
    <col min="19" max="16384" width="10" style="44"/>
  </cols>
  <sheetData>
    <row r="1" spans="1:16" ht="15.6" x14ac:dyDescent="0.3">
      <c r="A1" s="987" t="s">
        <v>36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</row>
    <row r="2" spans="1:16" ht="15.6" x14ac:dyDescent="0.3">
      <c r="A2" s="987" t="str">
        <f>'Sch M 2.1'!A2:J2</f>
        <v>Case No. 2016-00162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</row>
    <row r="3" spans="1:16" ht="15.6" x14ac:dyDescent="0.3">
      <c r="A3" s="987" t="s">
        <v>201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</row>
    <row r="4" spans="1:16" ht="15.6" x14ac:dyDescent="0.3">
      <c r="A4" s="987" t="s">
        <v>408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  <c r="M4" s="987"/>
      <c r="N4" s="987"/>
      <c r="O4" s="987"/>
    </row>
    <row r="5" spans="1:16" ht="15.6" x14ac:dyDescent="0.3">
      <c r="A5" s="990" t="s">
        <v>39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</row>
    <row r="6" spans="1:16" ht="15.6" x14ac:dyDescent="0.3">
      <c r="A6" s="47" t="s">
        <v>330</v>
      </c>
    </row>
    <row r="7" spans="1:16" ht="15.6" x14ac:dyDescent="0.3">
      <c r="A7" s="47" t="s">
        <v>223</v>
      </c>
      <c r="O7" s="49" t="s">
        <v>37</v>
      </c>
    </row>
    <row r="8" spans="1:16" ht="15.6" x14ac:dyDescent="0.3">
      <c r="A8" s="50" t="s">
        <v>63</v>
      </c>
      <c r="O8" s="49" t="s">
        <v>332</v>
      </c>
    </row>
    <row r="9" spans="1:16" ht="15.6" x14ac:dyDescent="0.3">
      <c r="A9" s="208" t="s">
        <v>302</v>
      </c>
      <c r="O9" s="305" t="s">
        <v>424</v>
      </c>
    </row>
    <row r="10" spans="1:16" ht="15.6" x14ac:dyDescent="0.3">
      <c r="A10" s="50"/>
      <c r="O10" s="49"/>
    </row>
    <row r="11" spans="1:16" ht="15.6" x14ac:dyDescent="0.3">
      <c r="A11" s="989" t="s">
        <v>194</v>
      </c>
      <c r="B11" s="989"/>
      <c r="C11" s="989"/>
      <c r="D11" s="989"/>
      <c r="E11" s="989"/>
      <c r="F11" s="989"/>
      <c r="G11" s="989"/>
      <c r="H11" s="989"/>
      <c r="I11" s="989"/>
      <c r="J11" s="989"/>
      <c r="K11" s="989"/>
      <c r="L11" s="989"/>
      <c r="M11" s="989"/>
      <c r="N11" s="989"/>
      <c r="O11" s="989"/>
      <c r="P11" s="51"/>
    </row>
    <row r="12" spans="1:16" ht="15.6" x14ac:dyDescent="0.3">
      <c r="A12" s="50"/>
      <c r="B12" s="51"/>
      <c r="C12" s="51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1:16" ht="15.6" x14ac:dyDescent="0.3">
      <c r="A13" s="45" t="s">
        <v>1</v>
      </c>
      <c r="B13" s="97"/>
      <c r="C13" s="45"/>
      <c r="D13" s="45"/>
    </row>
    <row r="14" spans="1:16" ht="15.6" x14ac:dyDescent="0.3">
      <c r="A14" s="55" t="s">
        <v>3</v>
      </c>
      <c r="B14" s="55" t="s">
        <v>4</v>
      </c>
      <c r="C14" s="159" t="str">
        <f>B!$D$11</f>
        <v>Jan-17</v>
      </c>
      <c r="D14" s="159" t="str">
        <f>B!$E$11</f>
        <v>Feb-17</v>
      </c>
      <c r="E14" s="159" t="str">
        <f>B!$F$11</f>
        <v>Mar-17</v>
      </c>
      <c r="F14" s="159" t="str">
        <f>B!$G$11</f>
        <v>Apr-17</v>
      </c>
      <c r="G14" s="159" t="str">
        <f>B!$H$11</f>
        <v>May-17</v>
      </c>
      <c r="H14" s="159" t="str">
        <f>B!$I$11</f>
        <v>Jun-17</v>
      </c>
      <c r="I14" s="159" t="str">
        <f>B!$J$11</f>
        <v>Jul-17</v>
      </c>
      <c r="J14" s="159" t="str">
        <f>B!$K$11</f>
        <v>Aug-17</v>
      </c>
      <c r="K14" s="159" t="str">
        <f>B!$L$11</f>
        <v>Sep-17</v>
      </c>
      <c r="L14" s="159" t="str">
        <f>B!$M$11</f>
        <v>Oct-17</v>
      </c>
      <c r="M14" s="159" t="str">
        <f>B!$N$11</f>
        <v>Nov-17</v>
      </c>
      <c r="N14" s="159" t="str">
        <f>B!$O$11</f>
        <v>Dec-17</v>
      </c>
      <c r="O14" s="56" t="s">
        <v>9</v>
      </c>
    </row>
    <row r="15" spans="1:16" ht="15.6" x14ac:dyDescent="0.3">
      <c r="A15" s="45"/>
      <c r="B15" s="4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6" ht="15.6" x14ac:dyDescent="0.3">
      <c r="A16" s="74">
        <v>1</v>
      </c>
      <c r="B16" s="156" t="s">
        <v>403</v>
      </c>
      <c r="C16" s="107"/>
      <c r="D16" s="107"/>
      <c r="E16" s="107"/>
      <c r="F16" s="107"/>
      <c r="G16" s="107"/>
      <c r="H16" s="75"/>
      <c r="I16" s="75"/>
      <c r="J16" s="75"/>
      <c r="K16" s="75"/>
      <c r="L16" s="75"/>
      <c r="M16" s="75"/>
      <c r="N16" s="75"/>
      <c r="O16" s="75"/>
    </row>
    <row r="17" spans="1:18" ht="15.6" x14ac:dyDescent="0.3">
      <c r="A17" s="74"/>
      <c r="B17" s="156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1:18" x14ac:dyDescent="0.25">
      <c r="A18" s="74">
        <f>A16+1</f>
        <v>2</v>
      </c>
      <c r="B18" s="164" t="s">
        <v>304</v>
      </c>
      <c r="C18" s="794">
        <f>'Sch M 2.2'!E70+'Sch M 2.2'!E84+'Sch M 2.2'!E91+'Sch M 2.2'!E98+'Sch M 2.2'!E105+'Sch M 2.2'!E134+'Sch M 2.2'!E148+'Sch M 2.2'!E155</f>
        <v>7846190.4999999991</v>
      </c>
      <c r="D18" s="176">
        <f>'Sch M 2.2'!F70+'Sch M 2.2'!F84+'Sch M 2.2'!F91+'Sch M 2.2'!F98+'Sch M 2.2'!F105+'Sch M 2.2'!F134+'Sch M 2.2'!F148+'Sch M 2.2'!F155</f>
        <v>7663359.7999999998</v>
      </c>
      <c r="E18" s="176">
        <f>'Sch M 2.2'!G70+'Sch M 2.2'!G84+'Sch M 2.2'!G91+'Sch M 2.2'!G98+'Sch M 2.2'!G105+'Sch M 2.2'!G134+'Sch M 2.2'!G148+'Sch M 2.2'!G155</f>
        <v>6195223.9099999992</v>
      </c>
      <c r="F18" s="176">
        <f>'Sch M 2.2'!H70+'Sch M 2.2'!H84+'Sch M 2.2'!H91+'Sch M 2.2'!H98+'Sch M 2.2'!H105+'Sch M 2.2'!H134+'Sch M 2.2'!H148+'Sch M 2.2'!H155</f>
        <v>4301603.3199999994</v>
      </c>
      <c r="G18" s="176">
        <f>'Sch M 2.2'!I70+'Sch M 2.2'!I84+'Sch M 2.2'!I91+'Sch M 2.2'!I98+'Sch M 2.2'!I105+'Sch M 2.2'!I134+'Sch M 2.2'!I148+'Sch M 2.2'!I155</f>
        <v>2959875.2399999998</v>
      </c>
      <c r="H18" s="176">
        <f>'Sch M 2.2'!J70+'Sch M 2.2'!J84+'Sch M 2.2'!J91+'Sch M 2.2'!J98+'Sch M 2.2'!J105+'Sch M 2.2'!J134+'Sch M 2.2'!J148+'Sch M 2.2'!J155</f>
        <v>2324247.2000000002</v>
      </c>
      <c r="I18" s="176">
        <f>'Sch M 2.2'!K70+'Sch M 2.2'!K84+'Sch M 2.2'!K91+'Sch M 2.2'!K98+'Sch M 2.2'!K105+'Sch M 2.2'!K134+'Sch M 2.2'!K148+'Sch M 2.2'!K155</f>
        <v>2149642.4700000002</v>
      </c>
      <c r="J18" s="176">
        <f>'Sch M 2.2'!L70+'Sch M 2.2'!L84+'Sch M 2.2'!L91+'Sch M 2.2'!L98+'Sch M 2.2'!L105+'Sch M 2.2'!L134+'Sch M 2.2'!L148+'Sch M 2.2'!L155</f>
        <v>2142831.4700000002</v>
      </c>
      <c r="K18" s="176">
        <f>'Sch M 2.2'!M70+'Sch M 2.2'!M84+'Sch M 2.2'!M91+'Sch M 2.2'!M98+'Sch M 2.2'!M105+'Sch M 2.2'!M134+'Sch M 2.2'!M148+'Sch M 2.2'!M155</f>
        <v>2144969.4600000004</v>
      </c>
      <c r="L18" s="176">
        <f>'Sch M 2.2'!N70+'Sch M 2.2'!N84+'Sch M 2.2'!N91+'Sch M 2.2'!N98+'Sch M 2.2'!N105+'Sch M 2.2'!N134+'Sch M 2.2'!N148+'Sch M 2.2'!N155</f>
        <v>2385375.4</v>
      </c>
      <c r="M18" s="176">
        <f>'Sch M 2.2'!O70+'Sch M 2.2'!O84+'Sch M 2.2'!O91+'Sch M 2.2'!O98+'Sch M 2.2'!O105+'Sch M 2.2'!O134+'Sch M 2.2'!O148+'Sch M 2.2'!O155</f>
        <v>3618616.0900000008</v>
      </c>
      <c r="N18" s="176">
        <f>'Sch M 2.2'!P70+'Sch M 2.2'!P84+'Sch M 2.2'!P91+'Sch M 2.2'!P98+'Sch M 2.2'!P105+'Sch M 2.2'!P134+'Sch M 2.2'!P148+'Sch M 2.2'!P155</f>
        <v>5901645.4300000006</v>
      </c>
      <c r="O18" s="177">
        <f>SUM(C18:N18)</f>
        <v>49633580.289999999</v>
      </c>
    </row>
    <row r="19" spans="1:18" x14ac:dyDescent="0.25">
      <c r="A19" s="74">
        <f>A18+1</f>
        <v>3</v>
      </c>
      <c r="B19" s="156" t="s">
        <v>305</v>
      </c>
      <c r="C19" s="178">
        <f>'Sch M 2.2'!E77+'Sch M 2.2'!E141+'Sch M 2.2'!E162</f>
        <v>3217802.55</v>
      </c>
      <c r="D19" s="178">
        <f>'Sch M 2.2'!F77+'Sch M 2.2'!F141+'Sch M 2.2'!F162</f>
        <v>3205817.64</v>
      </c>
      <c r="E19" s="178">
        <f>'Sch M 2.2'!G77+'Sch M 2.2'!G141+'Sch M 2.2'!G162</f>
        <v>2387480.5</v>
      </c>
      <c r="F19" s="178">
        <f>'Sch M 2.2'!H77+'Sch M 2.2'!H141+'Sch M 2.2'!H162</f>
        <v>1633593.31</v>
      </c>
      <c r="G19" s="178">
        <f>'Sch M 2.2'!I77+'Sch M 2.2'!I141+'Sch M 2.2'!I162</f>
        <v>1023502.2000000001</v>
      </c>
      <c r="H19" s="178">
        <f>'Sch M 2.2'!J77+'Sch M 2.2'!J141+'Sch M 2.2'!J162</f>
        <v>791304.52999999991</v>
      </c>
      <c r="I19" s="178">
        <f>'Sch M 2.2'!K77+'Sch M 2.2'!K141+'Sch M 2.2'!K162</f>
        <v>690861.47000000009</v>
      </c>
      <c r="J19" s="178">
        <f>'Sch M 2.2'!L77+'Sch M 2.2'!L141+'Sch M 2.2'!L162</f>
        <v>673449.84</v>
      </c>
      <c r="K19" s="178">
        <f>'Sch M 2.2'!M77+'Sch M 2.2'!M141+'Sch M 2.2'!M162</f>
        <v>668132.54999999993</v>
      </c>
      <c r="L19" s="178">
        <f>'Sch M 2.2'!N77+'Sch M 2.2'!N141+'Sch M 2.2'!N162</f>
        <v>777295.27000000014</v>
      </c>
      <c r="M19" s="178">
        <f>'Sch M 2.2'!O77+'Sch M 2.2'!O141+'Sch M 2.2'!O162</f>
        <v>1180863.24</v>
      </c>
      <c r="N19" s="178">
        <f>'Sch M 2.2'!P77+'Sch M 2.2'!P141+'Sch M 2.2'!P162</f>
        <v>2239232.23</v>
      </c>
      <c r="O19" s="177">
        <f>SUM(C19:N19)</f>
        <v>18489335.329999998</v>
      </c>
    </row>
    <row r="20" spans="1:18" x14ac:dyDescent="0.25">
      <c r="A20" s="74">
        <f>A19+1</f>
        <v>4</v>
      </c>
      <c r="B20" s="156" t="s">
        <v>306</v>
      </c>
      <c r="C20" s="183">
        <f>'Sch M 2.2'!E190+'Sch M 2.2'!E197</f>
        <v>129149.99</v>
      </c>
      <c r="D20" s="183">
        <f>'Sch M 2.2'!F190+'Sch M 2.2'!F197</f>
        <v>125132.98999999999</v>
      </c>
      <c r="E20" s="183">
        <f>'Sch M 2.2'!G190+'Sch M 2.2'!G197</f>
        <v>121088.68</v>
      </c>
      <c r="F20" s="183">
        <f>'Sch M 2.2'!H190+'Sch M 2.2'!H197</f>
        <v>116752.69000000002</v>
      </c>
      <c r="G20" s="183">
        <f>'Sch M 2.2'!I190+'Sch M 2.2'!I197</f>
        <v>112364.84999999999</v>
      </c>
      <c r="H20" s="183">
        <f>'Sch M 2.2'!J190+'Sch M 2.2'!J197</f>
        <v>108141.06</v>
      </c>
      <c r="I20" s="183">
        <f>'Sch M 2.2'!K190+'Sch M 2.2'!K197</f>
        <v>108140.14</v>
      </c>
      <c r="J20" s="183">
        <f>'Sch M 2.2'!L190+'Sch M 2.2'!L197</f>
        <v>112164.59</v>
      </c>
      <c r="K20" s="183">
        <f>'Sch M 2.2'!M190+'Sch M 2.2'!M197</f>
        <v>112114.09</v>
      </c>
      <c r="L20" s="183">
        <f>'Sch M 2.2'!N190+'Sch M 2.2'!N197</f>
        <v>120237.79999999999</v>
      </c>
      <c r="M20" s="183">
        <f>'Sch M 2.2'!O190+'Sch M 2.2'!O197</f>
        <v>120706.85999999999</v>
      </c>
      <c r="N20" s="183">
        <f>'Sch M 2.2'!P190+'Sch M 2.2'!P197</f>
        <v>121305.35</v>
      </c>
      <c r="O20" s="177">
        <f>SUM(C20:N20)</f>
        <v>1407299.0899999999</v>
      </c>
    </row>
    <row r="21" spans="1:18" x14ac:dyDescent="0.25">
      <c r="A21" s="74">
        <f>A20+1</f>
        <v>5</v>
      </c>
      <c r="B21" s="156" t="s">
        <v>307</v>
      </c>
      <c r="C21" s="63">
        <f>'Sch M 2.2'!E204</f>
        <v>10643.800000000001</v>
      </c>
      <c r="D21" s="63">
        <f>'Sch M 2.2'!F204</f>
        <v>8122.05</v>
      </c>
      <c r="E21" s="63">
        <f>'Sch M 2.2'!G204</f>
        <v>4447.7800000000007</v>
      </c>
      <c r="F21" s="63">
        <f>'Sch M 2.2'!H204</f>
        <v>3058.7599999999998</v>
      </c>
      <c r="G21" s="63">
        <f>'Sch M 2.2'!I204</f>
        <v>2211.17</v>
      </c>
      <c r="H21" s="63">
        <f>'Sch M 2.2'!J204</f>
        <v>1780.99</v>
      </c>
      <c r="I21" s="63">
        <f>'Sch M 2.2'!K204</f>
        <v>1852.7500000000002</v>
      </c>
      <c r="J21" s="63">
        <f>'Sch M 2.2'!L204</f>
        <v>1704.6900000000003</v>
      </c>
      <c r="K21" s="63">
        <f>'Sch M 2.2'!M204</f>
        <v>1705.6100000000001</v>
      </c>
      <c r="L21" s="63">
        <f>'Sch M 2.2'!N204</f>
        <v>3251.8</v>
      </c>
      <c r="M21" s="63">
        <f>'Sch M 2.2'!O204</f>
        <v>4191.49</v>
      </c>
      <c r="N21" s="63">
        <f>'Sch M 2.2'!P204</f>
        <v>4740.2300000000005</v>
      </c>
      <c r="O21" s="63">
        <f>SUM(C21:N21)</f>
        <v>47711.12000000001</v>
      </c>
      <c r="P21" s="214">
        <f>O22+O24-O28</f>
        <v>70076678.030000016</v>
      </c>
    </row>
    <row r="22" spans="1:18" x14ac:dyDescent="0.25">
      <c r="A22" s="74">
        <f>A21+1</f>
        <v>6</v>
      </c>
      <c r="B22" s="156" t="s">
        <v>308</v>
      </c>
      <c r="C22" s="48">
        <f t="shared" ref="C22:O22" si="0">SUM(C18:C21)</f>
        <v>11203786.84</v>
      </c>
      <c r="D22" s="48">
        <f t="shared" si="0"/>
        <v>11002432.48</v>
      </c>
      <c r="E22" s="48">
        <f t="shared" si="0"/>
        <v>8708240.8699999992</v>
      </c>
      <c r="F22" s="48">
        <f t="shared" si="0"/>
        <v>6055008.0799999991</v>
      </c>
      <c r="G22" s="48">
        <f t="shared" si="0"/>
        <v>4097953.46</v>
      </c>
      <c r="H22" s="48">
        <f t="shared" si="0"/>
        <v>3225473.7800000003</v>
      </c>
      <c r="I22" s="48">
        <f t="shared" si="0"/>
        <v>2950496.8300000005</v>
      </c>
      <c r="J22" s="48">
        <f t="shared" si="0"/>
        <v>2930150.59</v>
      </c>
      <c r="K22" s="48">
        <f t="shared" si="0"/>
        <v>2926921.71</v>
      </c>
      <c r="L22" s="48">
        <f t="shared" si="0"/>
        <v>3286160.2699999996</v>
      </c>
      <c r="M22" s="48">
        <f t="shared" si="0"/>
        <v>4924377.6800000016</v>
      </c>
      <c r="N22" s="48">
        <f>SUM(N18:N21)</f>
        <v>8266923.2400000002</v>
      </c>
      <c r="O22" s="181">
        <f t="shared" si="0"/>
        <v>69577925.830000013</v>
      </c>
    </row>
    <row r="23" spans="1:18" x14ac:dyDescent="0.25">
      <c r="A23" s="74"/>
      <c r="C23" s="182"/>
      <c r="D23" s="182"/>
      <c r="E23" s="182"/>
      <c r="F23" s="182"/>
      <c r="O23" s="62"/>
    </row>
    <row r="24" spans="1:18" x14ac:dyDescent="0.25">
      <c r="A24" s="74">
        <f>A22+1</f>
        <v>7</v>
      </c>
      <c r="B24" s="156" t="s">
        <v>309</v>
      </c>
      <c r="C24" s="183">
        <f>'Sch M 2.2'!E232+'Sch M 2.2'!E239+'Sch M 2.2'!E246+'Sch M 2.2'!E253+'Sch M 2.2'!E260+'Sch M 2.2'!E267+'Sch M 2.2'!E294+'Sch M 2.2'!E301+'Sch M 2.2'!E308+'Sch M 2.2'!E315+'Sch M 2.2'!E322+'Sch M 2.2'!E329+'Sch M 2.2'!E356+'Sch M 2.2'!E363</f>
        <v>2813484.87</v>
      </c>
      <c r="D24" s="183">
        <f>'Sch M 2.2'!F232+'Sch M 2.2'!F239+'Sch M 2.2'!F246+'Sch M 2.2'!F253+'Sch M 2.2'!F260+'Sch M 2.2'!F267+'Sch M 2.2'!F294+'Sch M 2.2'!F301+'Sch M 2.2'!F308+'Sch M 2.2'!F315+'Sch M 2.2'!F322+'Sch M 2.2'!F329+'Sch M 2.2'!F356+'Sch M 2.2'!F363</f>
        <v>2706952.86</v>
      </c>
      <c r="E24" s="183">
        <f>'Sch M 2.2'!G232+'Sch M 2.2'!G239+'Sch M 2.2'!G246+'Sch M 2.2'!G253+'Sch M 2.2'!G260+'Sch M 2.2'!G267+'Sch M 2.2'!G294+'Sch M 2.2'!G301+'Sch M 2.2'!G308+'Sch M 2.2'!G315+'Sch M 2.2'!G322+'Sch M 2.2'!G329+'Sch M 2.2'!G356+'Sch M 2.2'!G363</f>
        <v>2332773.3400000003</v>
      </c>
      <c r="F24" s="183">
        <f>'Sch M 2.2'!H232+'Sch M 2.2'!H239+'Sch M 2.2'!H246+'Sch M 2.2'!H253+'Sch M 2.2'!H260+'Sch M 2.2'!H267+'Sch M 2.2'!H294+'Sch M 2.2'!H301+'Sch M 2.2'!H308+'Sch M 2.2'!H315+'Sch M 2.2'!H322+'Sch M 2.2'!H329+'Sch M 2.2'!H356+'Sch M 2.2'!H363</f>
        <v>1823977.8800000001</v>
      </c>
      <c r="G24" s="183">
        <f>'Sch M 2.2'!I232+'Sch M 2.2'!I239+'Sch M 2.2'!I246+'Sch M 2.2'!I253+'Sch M 2.2'!I260+'Sch M 2.2'!I267+'Sch M 2.2'!I294+'Sch M 2.2'!I301+'Sch M 2.2'!I308+'Sch M 2.2'!I315+'Sch M 2.2'!I322+'Sch M 2.2'!I329+'Sch M 2.2'!I356+'Sch M 2.2'!I363</f>
        <v>1475908.04</v>
      </c>
      <c r="H24" s="183">
        <f>'Sch M 2.2'!J232+'Sch M 2.2'!J239+'Sch M 2.2'!J246+'Sch M 2.2'!J253+'Sch M 2.2'!J260+'Sch M 2.2'!J267+'Sch M 2.2'!J294+'Sch M 2.2'!J301+'Sch M 2.2'!J308+'Sch M 2.2'!J315+'Sch M 2.2'!J322+'Sch M 2.2'!J329+'Sch M 2.2'!J356+'Sch M 2.2'!J363</f>
        <v>1303401.3</v>
      </c>
      <c r="I24" s="183">
        <f>'Sch M 2.2'!K232+'Sch M 2.2'!K239+'Sch M 2.2'!K246+'Sch M 2.2'!K253+'Sch M 2.2'!K260+'Sch M 2.2'!K267+'Sch M 2.2'!K294+'Sch M 2.2'!K301+'Sch M 2.2'!K308+'Sch M 2.2'!K315+'Sch M 2.2'!K322+'Sch M 2.2'!K329+'Sch M 2.2'!K356+'Sch M 2.2'!K363</f>
        <v>1246254.9400000002</v>
      </c>
      <c r="J24" s="183">
        <f>'Sch M 2.2'!L232+'Sch M 2.2'!L239+'Sch M 2.2'!L246+'Sch M 2.2'!L253+'Sch M 2.2'!L260+'Sch M 2.2'!L267+'Sch M 2.2'!L294+'Sch M 2.2'!L301+'Sch M 2.2'!L308+'Sch M 2.2'!L315+'Sch M 2.2'!L322+'Sch M 2.2'!L329+'Sch M 2.2'!L356+'Sch M 2.2'!L363</f>
        <v>1254807.4899999998</v>
      </c>
      <c r="K24" s="183">
        <f>'Sch M 2.2'!M232+'Sch M 2.2'!M239+'Sch M 2.2'!M246+'Sch M 2.2'!M253+'Sch M 2.2'!M260+'Sch M 2.2'!M267+'Sch M 2.2'!M294+'Sch M 2.2'!M301+'Sch M 2.2'!M308+'Sch M 2.2'!M315+'Sch M 2.2'!M322+'Sch M 2.2'!M329+'Sch M 2.2'!M356+'Sch M 2.2'!M363</f>
        <v>1290761.5799999998</v>
      </c>
      <c r="L24" s="183">
        <f>'Sch M 2.2'!N232+'Sch M 2.2'!N239+'Sch M 2.2'!N246+'Sch M 2.2'!N253+'Sch M 2.2'!N260+'Sch M 2.2'!N267+'Sch M 2.2'!N294+'Sch M 2.2'!N301+'Sch M 2.2'!N308+'Sch M 2.2'!N315+'Sch M 2.2'!N322+'Sch M 2.2'!N329+'Sch M 2.2'!N356+'Sch M 2.2'!N363</f>
        <v>1429498.3699999999</v>
      </c>
      <c r="M24" s="183">
        <f>'Sch M 2.2'!O232+'Sch M 2.2'!O239+'Sch M 2.2'!O246+'Sch M 2.2'!O253+'Sch M 2.2'!O260+'Sch M 2.2'!O267+'Sch M 2.2'!O294+'Sch M 2.2'!O301+'Sch M 2.2'!O308+'Sch M 2.2'!O315+'Sch M 2.2'!O322+'Sch M 2.2'!O329+'Sch M 2.2'!O356+'Sch M 2.2'!O363</f>
        <v>1768570.97</v>
      </c>
      <c r="N24" s="183">
        <f>'Sch M 2.2'!P232+'Sch M 2.2'!P239+'Sch M 2.2'!P246+'Sch M 2.2'!P253+'Sch M 2.2'!P260+'Sch M 2.2'!P267+'Sch M 2.2'!P294+'Sch M 2.2'!P301+'Sch M 2.2'!P308+'Sch M 2.2'!P315+'Sch M 2.2'!P322+'Sch M 2.2'!P329+'Sch M 2.2'!P356+'Sch M 2.2'!P363</f>
        <v>2528310.6700000004</v>
      </c>
      <c r="O24" s="179">
        <f>SUM(C24:N24)</f>
        <v>21974702.310000002</v>
      </c>
    </row>
    <row r="25" spans="1:18" x14ac:dyDescent="0.25">
      <c r="A25" s="74">
        <f>A24+1</f>
        <v>8</v>
      </c>
      <c r="B25" s="156" t="s">
        <v>310</v>
      </c>
      <c r="C25" s="63">
        <f>'Sch M 2.2'!E375</f>
        <v>136000</v>
      </c>
      <c r="D25" s="63">
        <f>'Sch M 2.2'!F375</f>
        <v>152000</v>
      </c>
      <c r="E25" s="63">
        <f>'Sch M 2.2'!G375</f>
        <v>156000</v>
      </c>
      <c r="F25" s="63">
        <f>'Sch M 2.2'!H375</f>
        <v>178000</v>
      </c>
      <c r="G25" s="63">
        <f>'Sch M 2.2'!I375</f>
        <v>80000</v>
      </c>
      <c r="H25" s="63">
        <f>'Sch M 2.2'!J375</f>
        <v>61000</v>
      </c>
      <c r="I25" s="63">
        <f>'Sch M 2.2'!K375</f>
        <v>51000</v>
      </c>
      <c r="J25" s="63">
        <f>'Sch M 2.2'!L375</f>
        <v>48000</v>
      </c>
      <c r="K25" s="63">
        <f>'Sch M 2.2'!M375</f>
        <v>53000</v>
      </c>
      <c r="L25" s="63">
        <f>'Sch M 2.2'!N375</f>
        <v>54000</v>
      </c>
      <c r="M25" s="63">
        <f>'Sch M 2.2'!O375</f>
        <v>69000</v>
      </c>
      <c r="N25" s="63">
        <f>'Sch M 2.2'!P375</f>
        <v>162000</v>
      </c>
      <c r="O25" s="399">
        <f>SUM(C25:N25)</f>
        <v>1200000</v>
      </c>
    </row>
    <row r="26" spans="1:18" x14ac:dyDescent="0.25">
      <c r="A26" s="74"/>
      <c r="O26" s="184"/>
      <c r="R26" s="114"/>
    </row>
    <row r="27" spans="1:18" x14ac:dyDescent="0.25">
      <c r="A27" s="74">
        <f>A25+1</f>
        <v>9</v>
      </c>
      <c r="B27" s="156" t="s">
        <v>311</v>
      </c>
      <c r="C27" s="48">
        <f t="shared" ref="C27:M27" si="1">C22+C24+C25</f>
        <v>14153271.710000001</v>
      </c>
      <c r="D27" s="48">
        <f t="shared" si="1"/>
        <v>13861385.34</v>
      </c>
      <c r="E27" s="48">
        <f t="shared" si="1"/>
        <v>11197014.209999999</v>
      </c>
      <c r="F27" s="48">
        <f t="shared" si="1"/>
        <v>8056985.959999999</v>
      </c>
      <c r="G27" s="48">
        <f t="shared" si="1"/>
        <v>5653861.5</v>
      </c>
      <c r="H27" s="48">
        <f t="shared" si="1"/>
        <v>4589875.08</v>
      </c>
      <c r="I27" s="48">
        <f t="shared" si="1"/>
        <v>4247751.7700000005</v>
      </c>
      <c r="J27" s="48">
        <f t="shared" si="1"/>
        <v>4232958.08</v>
      </c>
      <c r="K27" s="48">
        <f t="shared" si="1"/>
        <v>4270683.29</v>
      </c>
      <c r="L27" s="48">
        <f t="shared" si="1"/>
        <v>4769658.6399999997</v>
      </c>
      <c r="M27" s="48">
        <f t="shared" si="1"/>
        <v>6761948.6500000013</v>
      </c>
      <c r="N27" s="48">
        <f>N22+N24+N25</f>
        <v>10957233.91</v>
      </c>
      <c r="O27" s="179">
        <f>SUM(C27:N27)</f>
        <v>92752628.140000001</v>
      </c>
      <c r="R27" s="114"/>
    </row>
    <row r="28" spans="1:18" ht="16.8" x14ac:dyDescent="0.4">
      <c r="A28" s="74">
        <f>A27+1</f>
        <v>10</v>
      </c>
      <c r="B28" s="156" t="s">
        <v>151</v>
      </c>
      <c r="C28" s="402">
        <f>'Sch M 2.2'!E69+'Sch M 2.2'!E76+'Sch M 2.2'!E83+'Sch M 2.2'!E90+'Sch M 2.2'!E97+'Sch M 2.2'!E104+'Sch M 2.2'!E133+'Sch M 2.2'!E140+'Sch M 2.2'!E147+'Sch M 2.2'!E154+'Sch M 2.2'!E161+'Sch M 2.2'!E189+'Sch M 2.2'!E196+'Sch M 2.2'!E203</f>
        <v>4483477.790000001</v>
      </c>
      <c r="D28" s="402">
        <f>'Sch M 2.2'!F69+'Sch M 2.2'!F76+'Sch M 2.2'!F83+'Sch M 2.2'!F90+'Sch M 2.2'!F97+'Sch M 2.2'!F104+'Sch M 2.2'!F133+'Sch M 2.2'!F140+'Sch M 2.2'!F147+'Sch M 2.2'!F154+'Sch M 2.2'!F161+'Sch M 2.2'!F189+'Sch M 2.2'!F196+'Sch M 2.2'!F203</f>
        <v>4376758.3900000006</v>
      </c>
      <c r="E28" s="402">
        <f>'Sch M 2.2'!G69+'Sch M 2.2'!G76+'Sch M 2.2'!G83+'Sch M 2.2'!G90+'Sch M 2.2'!G97+'Sch M 2.2'!G104+'Sch M 2.2'!G133+'Sch M 2.2'!G140+'Sch M 2.2'!G147+'Sch M 2.2'!G154+'Sch M 2.2'!G161+'Sch M 2.2'!G189+'Sch M 2.2'!G196+'Sch M 2.2'!G203</f>
        <v>3220650.43</v>
      </c>
      <c r="F28" s="402">
        <f>'Sch M 2.2'!H69+'Sch M 2.2'!H76+'Sch M 2.2'!H83+'Sch M 2.2'!H90+'Sch M 2.2'!H97+'Sch M 2.2'!H104+'Sch M 2.2'!H133+'Sch M 2.2'!H140+'Sch M 2.2'!H147+'Sch M 2.2'!H154+'Sch M 2.2'!H161+'Sch M 2.2'!H189+'Sch M 2.2'!H196+'Sch M 2.2'!H203</f>
        <v>1901250.88</v>
      </c>
      <c r="G28" s="402">
        <f>'Sch M 2.2'!I69+'Sch M 2.2'!I76+'Sch M 2.2'!I83+'Sch M 2.2'!I90+'Sch M 2.2'!I97+'Sch M 2.2'!I104+'Sch M 2.2'!I133+'Sch M 2.2'!I140+'Sch M 2.2'!I147+'Sch M 2.2'!I154+'Sch M 2.2'!I161+'Sch M 2.2'!I189+'Sch M 2.2'!I196+'Sch M 2.2'!I203</f>
        <v>935708.05000000016</v>
      </c>
      <c r="H28" s="402">
        <f>'Sch M 2.2'!J69+'Sch M 2.2'!J76+'Sch M 2.2'!J83+'Sch M 2.2'!J90+'Sch M 2.2'!J97+'Sch M 2.2'!J104+'Sch M 2.2'!J133+'Sch M 2.2'!J140+'Sch M 2.2'!J147+'Sch M 2.2'!J154+'Sch M 2.2'!J161+'Sch M 2.2'!J189+'Sch M 2.2'!J196+'Sch M 2.2'!J203</f>
        <v>513952.18000000005</v>
      </c>
      <c r="I28" s="402">
        <f>'Sch M 2.2'!K69+'Sch M 2.2'!K76+'Sch M 2.2'!K83+'Sch M 2.2'!K90+'Sch M 2.2'!K97+'Sch M 2.2'!K104+'Sch M 2.2'!K133+'Sch M 2.2'!K140+'Sch M 2.2'!K147+'Sch M 2.2'!K154+'Sch M 2.2'!K161+'Sch M 2.2'!K189+'Sch M 2.2'!K196+'Sch M 2.2'!K203</f>
        <v>383735.23999999993</v>
      </c>
      <c r="J28" s="402">
        <f>'Sch M 2.2'!L69+'Sch M 2.2'!L76+'Sch M 2.2'!L83+'Sch M 2.2'!L90+'Sch M 2.2'!L97+'Sch M 2.2'!L104+'Sch M 2.2'!L133+'Sch M 2.2'!L140+'Sch M 2.2'!L147+'Sch M 2.2'!L154+'Sch M 2.2'!L161+'Sch M 2.2'!L189+'Sch M 2.2'!L196+'Sch M 2.2'!L203</f>
        <v>370504.07000000007</v>
      </c>
      <c r="K28" s="402">
        <f>'Sch M 2.2'!M69+'Sch M 2.2'!M76+'Sch M 2.2'!M83+'Sch M 2.2'!M90+'Sch M 2.2'!M97+'Sch M 2.2'!M104+'Sch M 2.2'!M133+'Sch M 2.2'!M140+'Sch M 2.2'!M147+'Sch M 2.2'!M154+'Sch M 2.2'!M161+'Sch M 2.2'!M189+'Sch M 2.2'!M196+'Sch M 2.2'!M203</f>
        <v>374902.17</v>
      </c>
      <c r="L28" s="402">
        <f>'Sch M 2.2'!N69+'Sch M 2.2'!N76+'Sch M 2.2'!N83+'Sch M 2.2'!N90+'Sch M 2.2'!N97+'Sch M 2.2'!N104+'Sch M 2.2'!N133+'Sch M 2.2'!N140+'Sch M 2.2'!N147+'Sch M 2.2'!N154+'Sch M 2.2'!N161+'Sch M 2.2'!N189+'Sch M 2.2'!N196+'Sch M 2.2'!N203</f>
        <v>553542.36</v>
      </c>
      <c r="M28" s="402">
        <f>'Sch M 2.2'!O69+'Sch M 2.2'!O76+'Sch M 2.2'!O83+'Sch M 2.2'!O90+'Sch M 2.2'!O97+'Sch M 2.2'!O104+'Sch M 2.2'!O133+'Sch M 2.2'!O140+'Sch M 2.2'!O147+'Sch M 2.2'!O154+'Sch M 2.2'!O161+'Sch M 2.2'!O189+'Sch M 2.2'!O196+'Sch M 2.2'!O203</f>
        <v>1351384.0199999998</v>
      </c>
      <c r="N28" s="402">
        <f>'Sch M 2.2'!P69+'Sch M 2.2'!P76+'Sch M 2.2'!P83+'Sch M 2.2'!P90+'Sch M 2.2'!P97+'Sch M 2.2'!P104+'Sch M 2.2'!P133+'Sch M 2.2'!P140+'Sch M 2.2'!P147+'Sch M 2.2'!P154+'Sch M 2.2'!P161+'Sch M 2.2'!P189+'Sch M 2.2'!P196+'Sch M 2.2'!P203</f>
        <v>3010084.5300000003</v>
      </c>
      <c r="O28" s="401">
        <f>SUM(C28:N28)</f>
        <v>21475950.110000003</v>
      </c>
      <c r="R28" s="114"/>
    </row>
    <row r="29" spans="1:18" x14ac:dyDescent="0.25">
      <c r="A29" s="74"/>
      <c r="B29" s="156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59"/>
      <c r="R29" s="114"/>
    </row>
    <row r="30" spans="1:18" x14ac:dyDescent="0.25">
      <c r="A30" s="131">
        <f>A28+1</f>
        <v>11</v>
      </c>
      <c r="B30" s="137" t="s">
        <v>312</v>
      </c>
      <c r="C30" s="400">
        <f t="shared" ref="C30:O30" si="2">C27-C28</f>
        <v>9669793.9199999999</v>
      </c>
      <c r="D30" s="400">
        <f t="shared" si="2"/>
        <v>9484626.9499999993</v>
      </c>
      <c r="E30" s="400">
        <f t="shared" si="2"/>
        <v>7976363.7799999993</v>
      </c>
      <c r="F30" s="400">
        <f t="shared" si="2"/>
        <v>6155735.0799999991</v>
      </c>
      <c r="G30" s="400">
        <f t="shared" si="2"/>
        <v>4718153.45</v>
      </c>
      <c r="H30" s="400">
        <f t="shared" si="2"/>
        <v>4075922.9</v>
      </c>
      <c r="I30" s="400">
        <f t="shared" si="2"/>
        <v>3864016.5300000007</v>
      </c>
      <c r="J30" s="400">
        <f t="shared" si="2"/>
        <v>3862454.01</v>
      </c>
      <c r="K30" s="400">
        <f t="shared" si="2"/>
        <v>3895781.12</v>
      </c>
      <c r="L30" s="400">
        <f t="shared" si="2"/>
        <v>4216116.2799999993</v>
      </c>
      <c r="M30" s="400">
        <f t="shared" si="2"/>
        <v>5410564.6300000018</v>
      </c>
      <c r="N30" s="400">
        <f t="shared" si="2"/>
        <v>7947149.3799999999</v>
      </c>
      <c r="O30" s="400">
        <f t="shared" si="2"/>
        <v>71276678.030000001</v>
      </c>
      <c r="Q30" s="214">
        <f>O30</f>
        <v>71276678.030000001</v>
      </c>
      <c r="R30" s="44" t="s">
        <v>374</v>
      </c>
    </row>
    <row r="31" spans="1:18" ht="16.8" x14ac:dyDescent="0.4">
      <c r="A31" s="74"/>
      <c r="B31" s="156"/>
      <c r="C31" s="187"/>
      <c r="D31" s="187"/>
      <c r="E31" s="187"/>
      <c r="F31" s="187"/>
      <c r="G31" s="188"/>
      <c r="H31" s="189"/>
      <c r="I31" s="187"/>
      <c r="J31" s="187"/>
      <c r="K31" s="187"/>
      <c r="L31" s="187"/>
      <c r="M31" s="187"/>
      <c r="N31" s="187"/>
      <c r="O31" s="69"/>
      <c r="Q31" s="218">
        <v>56507540</v>
      </c>
      <c r="R31" s="44" t="s">
        <v>373</v>
      </c>
    </row>
    <row r="32" spans="1:18" x14ac:dyDescent="0.25">
      <c r="A32" s="74"/>
      <c r="B32" s="156"/>
      <c r="C32" s="187"/>
      <c r="D32" s="187"/>
      <c r="E32" s="187"/>
      <c r="F32" s="187"/>
      <c r="G32" s="188"/>
      <c r="H32" s="189"/>
      <c r="I32" s="187"/>
      <c r="J32" s="187"/>
      <c r="K32" s="187"/>
      <c r="L32" s="187"/>
      <c r="M32" s="187"/>
      <c r="N32" s="187"/>
      <c r="O32" s="69"/>
      <c r="Q32" s="214">
        <f>Q30-Q31</f>
        <v>14769138.030000001</v>
      </c>
    </row>
    <row r="33" spans="1:18" ht="15.6" x14ac:dyDescent="0.3">
      <c r="A33" s="74">
        <f>A30+1</f>
        <v>12</v>
      </c>
      <c r="B33" s="156" t="s">
        <v>404</v>
      </c>
      <c r="C33" s="107"/>
      <c r="D33" s="107"/>
      <c r="E33" s="107"/>
      <c r="F33" s="107"/>
      <c r="G33" s="107"/>
      <c r="I33" s="190"/>
      <c r="J33" s="190"/>
      <c r="K33" s="190"/>
      <c r="L33" s="190"/>
      <c r="M33" s="190"/>
      <c r="N33" s="190"/>
      <c r="O33" s="166"/>
      <c r="P33" s="45"/>
      <c r="Q33" s="64">
        <v>884000</v>
      </c>
      <c r="R33" s="88" t="s">
        <v>375</v>
      </c>
    </row>
    <row r="34" spans="1:18" ht="15.6" x14ac:dyDescent="0.3">
      <c r="A34" s="74"/>
      <c r="B34" s="156"/>
      <c r="C34" s="190"/>
      <c r="D34" s="180"/>
      <c r="E34" s="190"/>
      <c r="F34" s="190"/>
      <c r="G34" s="182"/>
      <c r="H34" s="182"/>
      <c r="I34" s="190"/>
      <c r="J34" s="190"/>
      <c r="K34" s="190"/>
      <c r="L34" s="190"/>
      <c r="M34" s="190"/>
      <c r="N34" s="190"/>
      <c r="O34" s="166"/>
      <c r="P34" s="45"/>
      <c r="Q34" s="45"/>
      <c r="R34" s="45"/>
    </row>
    <row r="35" spans="1:18" ht="15.6" x14ac:dyDescent="0.3">
      <c r="A35" s="74">
        <f>A33+1</f>
        <v>13</v>
      </c>
      <c r="B35" s="164" t="s">
        <v>304</v>
      </c>
      <c r="C35" s="183">
        <f>'Sch M 2.2'!E67+'Sch M 2.2'!E81+'Sch M 2.2'!E88+'Sch M 2.2'!E95+'Sch M 2.2'!E102+'Sch M 2.2'!E131+'Sch M 2.2'!E145+'Sch M 2.2'!E152</f>
        <v>1333000.0000000002</v>
      </c>
      <c r="D35" s="183">
        <f>'Sch M 2.2'!F67+'Sch M 2.2'!F81+'Sch M 2.2'!F88+'Sch M 2.2'!F95+'Sch M 2.2'!F102+'Sch M 2.2'!F131+'Sch M 2.2'!F145+'Sch M 2.2'!F152</f>
        <v>1292000.0999999999</v>
      </c>
      <c r="E35" s="183">
        <f>'Sch M 2.2'!G67+'Sch M 2.2'!G81+'Sch M 2.2'!G88+'Sch M 2.2'!G95+'Sch M 2.2'!G102+'Sch M 2.2'!G131+'Sch M 2.2'!G145+'Sch M 2.2'!G152</f>
        <v>969000</v>
      </c>
      <c r="F35" s="183">
        <f>'Sch M 2.2'!H67+'Sch M 2.2'!H81+'Sch M 2.2'!H88+'Sch M 2.2'!H95+'Sch M 2.2'!H102+'Sch M 2.2'!H131+'Sch M 2.2'!H145+'Sch M 2.2'!H152</f>
        <v>552999.9</v>
      </c>
      <c r="G35" s="183">
        <f>'Sch M 2.2'!I67+'Sch M 2.2'!I81+'Sch M 2.2'!I88+'Sch M 2.2'!I95+'Sch M 2.2'!I102+'Sch M 2.2'!I131+'Sch M 2.2'!I145+'Sch M 2.2'!I152</f>
        <v>259999.90000000002</v>
      </c>
      <c r="H35" s="183">
        <f>'Sch M 2.2'!J67+'Sch M 2.2'!J81+'Sch M 2.2'!J88+'Sch M 2.2'!J95+'Sch M 2.2'!J102+'Sch M 2.2'!J131+'Sch M 2.2'!J145+'Sch M 2.2'!J152</f>
        <v>123999.99999999999</v>
      </c>
      <c r="I35" s="183">
        <f>'Sch M 2.2'!K67+'Sch M 2.2'!K81+'Sch M 2.2'!K88+'Sch M 2.2'!K95+'Sch M 2.2'!K102+'Sch M 2.2'!K131+'Sch M 2.2'!K145+'Sch M 2.2'!K152</f>
        <v>89000.1</v>
      </c>
      <c r="J35" s="183">
        <f>'Sch M 2.2'!L67+'Sch M 2.2'!L81+'Sch M 2.2'!L88+'Sch M 2.2'!L95+'Sch M 2.2'!L102+'Sch M 2.2'!L131+'Sch M 2.2'!L145+'Sch M 2.2'!L152</f>
        <v>86000</v>
      </c>
      <c r="K35" s="183">
        <f>'Sch M 2.2'!M67+'Sch M 2.2'!M81+'Sch M 2.2'!M88+'Sch M 2.2'!M95+'Sch M 2.2'!M102+'Sch M 2.2'!M131+'Sch M 2.2'!M145+'Sch M 2.2'!M152</f>
        <v>89000.099999999991</v>
      </c>
      <c r="L35" s="183">
        <f>'Sch M 2.2'!N67+'Sch M 2.2'!N81+'Sch M 2.2'!N88+'Sch M 2.2'!N95+'Sch M 2.2'!N102+'Sch M 2.2'!N131+'Sch M 2.2'!N145+'Sch M 2.2'!N152</f>
        <v>141999.99999999997</v>
      </c>
      <c r="M35" s="183">
        <f>'Sch M 2.2'!O67+'Sch M 2.2'!O81+'Sch M 2.2'!O88+'Sch M 2.2'!O95+'Sch M 2.2'!O102+'Sch M 2.2'!O131+'Sch M 2.2'!O145+'Sch M 2.2'!O152</f>
        <v>409000.00000000006</v>
      </c>
      <c r="N35" s="183">
        <f>'Sch M 2.2'!P67+'Sch M 2.2'!P81+'Sch M 2.2'!P88+'Sch M 2.2'!P95+'Sch M 2.2'!P102+'Sch M 2.2'!P131+'Sch M 2.2'!P145+'Sch M 2.2'!P152</f>
        <v>907000</v>
      </c>
      <c r="O35" s="178">
        <f>SUM(C35:N35)</f>
        <v>6253000.0999999996</v>
      </c>
      <c r="P35" s="55"/>
      <c r="Q35" s="55"/>
      <c r="R35" s="55"/>
    </row>
    <row r="36" spans="1:18" ht="15.6" x14ac:dyDescent="0.3">
      <c r="A36" s="74">
        <f>A35+1</f>
        <v>14</v>
      </c>
      <c r="B36" s="156" t="s">
        <v>305</v>
      </c>
      <c r="C36" s="183">
        <f>'Sch M 2.2'!E74+'Sch M 2.2'!E138+'Sch M 2.2'!E159</f>
        <v>661239</v>
      </c>
      <c r="D36" s="183">
        <f>'Sch M 2.2'!F74+'Sch M 2.2'!F138+'Sch M 2.2'!F159</f>
        <v>655603.4</v>
      </c>
      <c r="E36" s="183">
        <f>'Sch M 2.2'!G74+'Sch M 2.2'!G138+'Sch M 2.2'!G159</f>
        <v>457308.9</v>
      </c>
      <c r="F36" s="183">
        <f>'Sch M 2.2'!H74+'Sch M 2.2'!H138+'Sch M 2.2'!H159</f>
        <v>277529.19999999995</v>
      </c>
      <c r="G36" s="183">
        <f>'Sch M 2.2'!I74+'Sch M 2.2'!I138+'Sch M 2.2'!I159</f>
        <v>134569.29999999999</v>
      </c>
      <c r="H36" s="183">
        <f>'Sch M 2.2'!J74+'Sch M 2.2'!J138+'Sch M 2.2'!J159</f>
        <v>80743.899999999994</v>
      </c>
      <c r="I36" s="183">
        <f>'Sch M 2.2'!K74+'Sch M 2.2'!K138+'Sch M 2.2'!K159</f>
        <v>56765.5</v>
      </c>
      <c r="J36" s="183">
        <f>'Sch M 2.2'!L74+'Sch M 2.2'!L138+'Sch M 2.2'!L159</f>
        <v>52809.2</v>
      </c>
      <c r="K36" s="183">
        <f>'Sch M 2.2'!M74+'Sch M 2.2'!M138+'Sch M 2.2'!M159</f>
        <v>51816.6</v>
      </c>
      <c r="L36" s="183">
        <f>'Sch M 2.2'!N74+'Sch M 2.2'!N138+'Sch M 2.2'!N159</f>
        <v>77181.100000000006</v>
      </c>
      <c r="M36" s="183">
        <f>'Sch M 2.2'!O74+'Sch M 2.2'!O138+'Sch M 2.2'!O159</f>
        <v>171160.69999999998</v>
      </c>
      <c r="N36" s="183">
        <f>'Sch M 2.2'!P74+'Sch M 2.2'!P138+'Sch M 2.2'!P159</f>
        <v>423897</v>
      </c>
      <c r="O36" s="178">
        <f>SUM(C36:N36)</f>
        <v>3100623.8000000003</v>
      </c>
      <c r="P36" s="45"/>
      <c r="Q36" s="45"/>
      <c r="R36" s="45"/>
    </row>
    <row r="37" spans="1:18" x14ac:dyDescent="0.25">
      <c r="A37" s="74">
        <f>A36+1</f>
        <v>15</v>
      </c>
      <c r="B37" s="156" t="s">
        <v>306</v>
      </c>
      <c r="C37" s="183">
        <f>'Sch M 2.2'!E187+'Sch M 2.2'!E194</f>
        <v>33000.199999999997</v>
      </c>
      <c r="D37" s="183">
        <f>'Sch M 2.2'!F187+'Sch M 2.2'!F194</f>
        <v>31999.9</v>
      </c>
      <c r="E37" s="183">
        <f>'Sch M 2.2'!G187+'Sch M 2.2'!G194</f>
        <v>30900</v>
      </c>
      <c r="F37" s="183">
        <f>'Sch M 2.2'!H187+'Sch M 2.2'!H194</f>
        <v>29799.9</v>
      </c>
      <c r="G37" s="183">
        <f>'Sch M 2.2'!I187+'Sch M 2.2'!I194</f>
        <v>28800.3</v>
      </c>
      <c r="H37" s="183">
        <f>'Sch M 2.2'!J187+'Sch M 2.2'!J194</f>
        <v>27749.9</v>
      </c>
      <c r="I37" s="183">
        <f>'Sch M 2.2'!K187+'Sch M 2.2'!K194</f>
        <v>27749.9</v>
      </c>
      <c r="J37" s="183">
        <f>'Sch M 2.2'!L187+'Sch M 2.2'!L194</f>
        <v>28750.199999999997</v>
      </c>
      <c r="K37" s="183">
        <f>'Sch M 2.2'!M187+'Sch M 2.2'!M194</f>
        <v>28750.199999999997</v>
      </c>
      <c r="L37" s="183">
        <f>'Sch M 2.2'!N187+'Sch M 2.2'!N194</f>
        <v>30849.9</v>
      </c>
      <c r="M37" s="183">
        <f>'Sch M 2.2'!O187+'Sch M 2.2'!O194</f>
        <v>30900</v>
      </c>
      <c r="N37" s="183">
        <f>'Sch M 2.2'!P187+'Sch M 2.2'!P194</f>
        <v>31000.1</v>
      </c>
      <c r="O37" s="178">
        <f>SUM(C37:N37)</f>
        <v>360250.5</v>
      </c>
      <c r="P37" s="88"/>
    </row>
    <row r="38" spans="1:18" ht="15.6" x14ac:dyDescent="0.3">
      <c r="A38" s="74">
        <f>A37+1</f>
        <v>16</v>
      </c>
      <c r="B38" s="156" t="s">
        <v>307</v>
      </c>
      <c r="C38" s="191">
        <f>'Sch M 2.2'!E201</f>
        <v>3136.7</v>
      </c>
      <c r="D38" s="191">
        <f>'Sch M 2.2'!F201</f>
        <v>2307.1999999999998</v>
      </c>
      <c r="E38" s="191">
        <f>'Sch M 2.2'!G201</f>
        <v>1098.5999999999999</v>
      </c>
      <c r="F38" s="191">
        <f>'Sch M 2.2'!H201</f>
        <v>641.70000000000005</v>
      </c>
      <c r="G38" s="191">
        <f>'Sch M 2.2'!I201</f>
        <v>362.9</v>
      </c>
      <c r="H38" s="191">
        <f>'Sch M 2.2'!J201</f>
        <v>221.4</v>
      </c>
      <c r="I38" s="191">
        <f>'Sch M 2.2'!K201</f>
        <v>245</v>
      </c>
      <c r="J38" s="191">
        <f>'Sch M 2.2'!L201</f>
        <v>196.3</v>
      </c>
      <c r="K38" s="191">
        <f>'Sch M 2.2'!M201</f>
        <v>196.6</v>
      </c>
      <c r="L38" s="191">
        <f>'Sch M 2.2'!N201</f>
        <v>705.2</v>
      </c>
      <c r="M38" s="191">
        <f>'Sch M 2.2'!O201</f>
        <v>1014.3</v>
      </c>
      <c r="N38" s="191">
        <f>'Sch M 2.2'!P201</f>
        <v>1194.8</v>
      </c>
      <c r="O38" s="191">
        <f>SUM(C38:N38)</f>
        <v>11320.699999999999</v>
      </c>
      <c r="P38" s="115"/>
      <c r="Q38" s="115"/>
    </row>
    <row r="39" spans="1:18" x14ac:dyDescent="0.25">
      <c r="A39" s="74">
        <f>A38+1</f>
        <v>17</v>
      </c>
      <c r="B39" s="156" t="s">
        <v>308</v>
      </c>
      <c r="C39" s="183">
        <f t="shared" ref="C39:M39" si="3">SUM(C35:C38)</f>
        <v>2030375.9000000001</v>
      </c>
      <c r="D39" s="183">
        <f t="shared" si="3"/>
        <v>1981910.5999999999</v>
      </c>
      <c r="E39" s="183">
        <f t="shared" si="3"/>
        <v>1458307.5</v>
      </c>
      <c r="F39" s="183">
        <f t="shared" si="3"/>
        <v>860970.7</v>
      </c>
      <c r="G39" s="183">
        <f t="shared" si="3"/>
        <v>423732.4</v>
      </c>
      <c r="H39" s="183">
        <f t="shared" si="3"/>
        <v>232715.19999999995</v>
      </c>
      <c r="I39" s="183">
        <f t="shared" si="3"/>
        <v>173760.5</v>
      </c>
      <c r="J39" s="183">
        <f t="shared" si="3"/>
        <v>167755.70000000001</v>
      </c>
      <c r="K39" s="183">
        <f t="shared" si="3"/>
        <v>169763.49999999997</v>
      </c>
      <c r="L39" s="183">
        <f t="shared" si="3"/>
        <v>250736.19999999998</v>
      </c>
      <c r="M39" s="183">
        <f t="shared" si="3"/>
        <v>612075.00000000012</v>
      </c>
      <c r="N39" s="183">
        <f>SUM(N35:N38)</f>
        <v>1363091.9000000001</v>
      </c>
      <c r="O39" s="183">
        <f>SUM(O35:O38)</f>
        <v>9725195.0999999996</v>
      </c>
    </row>
    <row r="40" spans="1:18" x14ac:dyDescent="0.25">
      <c r="A40" s="74"/>
      <c r="B40" s="156"/>
      <c r="C40" s="180"/>
      <c r="D40" s="180"/>
      <c r="E40" s="180"/>
      <c r="F40" s="180"/>
      <c r="G40" s="182"/>
    </row>
    <row r="41" spans="1:18" x14ac:dyDescent="0.25">
      <c r="A41" s="74">
        <f>A39+1</f>
        <v>18</v>
      </c>
      <c r="B41" s="156" t="s">
        <v>309</v>
      </c>
      <c r="C41" s="183">
        <f>'Sch M 2.2'!E229+'Sch M 2.2'!E236+'Sch M 2.2'!E243+'Sch M 2.2'!E250+'Sch M 2.2'!E257+'Sch M 2.2'!E264+'Sch M 2.2'!E291+'Sch M 2.2'!E298+'Sch M 2.2'!E305+'Sch M 2.2'!E312+'Sch M 2.2'!E319+'Sch M 2.2'!E326+'Sch M 2.2'!E353+'Sch M 2.2'!E360</f>
        <v>2396858.5999999996</v>
      </c>
      <c r="D41" s="183">
        <f>'Sch M 2.2'!F229+'Sch M 2.2'!F236+'Sch M 2.2'!F243+'Sch M 2.2'!F250+'Sch M 2.2'!F257+'Sch M 2.2'!F264+'Sch M 2.2'!F291+'Sch M 2.2'!F298+'Sch M 2.2'!F305+'Sch M 2.2'!F312+'Sch M 2.2'!F319+'Sch M 2.2'!F326+'Sch M 2.2'!F353+'Sch M 2.2'!F360</f>
        <v>2208207.2000000002</v>
      </c>
      <c r="E41" s="183">
        <f>'Sch M 2.2'!G229+'Sch M 2.2'!G236+'Sch M 2.2'!G243+'Sch M 2.2'!G250+'Sch M 2.2'!G257+'Sch M 2.2'!G264+'Sch M 2.2'!G291+'Sch M 2.2'!G298+'Sch M 2.2'!G305+'Sch M 2.2'!G312+'Sch M 2.2'!G319+'Sch M 2.2'!G326+'Sch M 2.2'!G353+'Sch M 2.2'!G360</f>
        <v>1948285.2</v>
      </c>
      <c r="F41" s="183">
        <f>'Sch M 2.2'!H229+'Sch M 2.2'!H236+'Sch M 2.2'!H243+'Sch M 2.2'!H250+'Sch M 2.2'!H257+'Sch M 2.2'!H264+'Sch M 2.2'!H291+'Sch M 2.2'!H298+'Sch M 2.2'!H305+'Sch M 2.2'!H312+'Sch M 2.2'!H319+'Sch M 2.2'!H326+'Sch M 2.2'!H353+'Sch M 2.2'!H360</f>
        <v>1552287.7000000002</v>
      </c>
      <c r="G41" s="183">
        <f>'Sch M 2.2'!I229+'Sch M 2.2'!I236+'Sch M 2.2'!I243+'Sch M 2.2'!I250+'Sch M 2.2'!I257+'Sch M 2.2'!I264+'Sch M 2.2'!I291+'Sch M 2.2'!I298+'Sch M 2.2'!I305+'Sch M 2.2'!I312+'Sch M 2.2'!I319+'Sch M 2.2'!I326+'Sch M 2.2'!I353+'Sch M 2.2'!I360</f>
        <v>1312282.7000000002</v>
      </c>
      <c r="H41" s="183">
        <f>'Sch M 2.2'!J229+'Sch M 2.2'!J236+'Sch M 2.2'!J243+'Sch M 2.2'!J250+'Sch M 2.2'!J257+'Sch M 2.2'!J264+'Sch M 2.2'!J291+'Sch M 2.2'!J298+'Sch M 2.2'!J305+'Sch M 2.2'!J312+'Sch M 2.2'!J319+'Sch M 2.2'!J326+'Sch M 2.2'!J353+'Sch M 2.2'!J360</f>
        <v>1181283.7999999998</v>
      </c>
      <c r="I41" s="183">
        <f>'Sch M 2.2'!K229+'Sch M 2.2'!K236+'Sch M 2.2'!K243+'Sch M 2.2'!K250+'Sch M 2.2'!K257+'Sch M 2.2'!K264+'Sch M 2.2'!K291+'Sch M 2.2'!K298+'Sch M 2.2'!K305+'Sch M 2.2'!K312+'Sch M 2.2'!K319+'Sch M 2.2'!K326+'Sch M 2.2'!K353+'Sch M 2.2'!K360</f>
        <v>1128283</v>
      </c>
      <c r="J41" s="183">
        <f>'Sch M 2.2'!L229+'Sch M 2.2'!L236+'Sch M 2.2'!L243+'Sch M 2.2'!L250+'Sch M 2.2'!L257+'Sch M 2.2'!L264+'Sch M 2.2'!L291+'Sch M 2.2'!L298+'Sch M 2.2'!L305+'Sch M 2.2'!L312+'Sch M 2.2'!L319+'Sch M 2.2'!L326+'Sch M 2.2'!L353+'Sch M 2.2'!L360</f>
        <v>1170285.1000000001</v>
      </c>
      <c r="K41" s="183">
        <f>'Sch M 2.2'!M229+'Sch M 2.2'!M236+'Sch M 2.2'!M243+'Sch M 2.2'!M250+'Sch M 2.2'!M257+'Sch M 2.2'!M264+'Sch M 2.2'!M291+'Sch M 2.2'!M298+'Sch M 2.2'!M305+'Sch M 2.2'!M312+'Sch M 2.2'!M319+'Sch M 2.2'!M326+'Sch M 2.2'!M353+'Sch M 2.2'!M360</f>
        <v>1236612</v>
      </c>
      <c r="L41" s="183">
        <f>'Sch M 2.2'!N229+'Sch M 2.2'!N236+'Sch M 2.2'!N243+'Sch M 2.2'!N250+'Sch M 2.2'!N257+'Sch M 2.2'!N264+'Sch M 2.2'!N291+'Sch M 2.2'!N298+'Sch M 2.2'!N305+'Sch M 2.2'!N312+'Sch M 2.2'!N319+'Sch M 2.2'!N326+'Sch M 2.2'!N353+'Sch M 2.2'!N360</f>
        <v>1451608.7999999998</v>
      </c>
      <c r="M41" s="183">
        <f>'Sch M 2.2'!O229+'Sch M 2.2'!O236+'Sch M 2.2'!O243+'Sch M 2.2'!O250+'Sch M 2.2'!O257+'Sch M 2.2'!O264+'Sch M 2.2'!O291+'Sch M 2.2'!O298+'Sch M 2.2'!O305+'Sch M 2.2'!O312+'Sch M 2.2'!O319+'Sch M 2.2'!O326+'Sch M 2.2'!O353+'Sch M 2.2'!O360</f>
        <v>1722488.7</v>
      </c>
      <c r="N41" s="183">
        <f>'Sch M 2.2'!P229+'Sch M 2.2'!P236+'Sch M 2.2'!P243+'Sch M 2.2'!P250+'Sch M 2.2'!P257+'Sch M 2.2'!P264+'Sch M 2.2'!P291+'Sch M 2.2'!P298+'Sch M 2.2'!P305+'Sch M 2.2'!P312+'Sch M 2.2'!P319+'Sch M 2.2'!P326+'Sch M 2.2'!P353+'Sch M 2.2'!P360</f>
        <v>2032764.7000000002</v>
      </c>
      <c r="O41" s="178">
        <f>SUM(C41:N41)</f>
        <v>19341247.499999996</v>
      </c>
      <c r="P41" s="67"/>
    </row>
    <row r="42" spans="1:18" ht="15.6" x14ac:dyDescent="0.3">
      <c r="A42" s="74"/>
      <c r="B42" s="62"/>
      <c r="C42" s="180"/>
      <c r="D42" s="180"/>
      <c r="E42" s="180"/>
      <c r="F42" s="180"/>
      <c r="G42" s="190"/>
      <c r="H42" s="190"/>
      <c r="I42" s="190"/>
      <c r="J42" s="190"/>
      <c r="K42" s="190"/>
      <c r="L42" s="190"/>
      <c r="M42" s="190"/>
      <c r="N42" s="190"/>
      <c r="O42" s="190"/>
    </row>
    <row r="43" spans="1:18" ht="15.6" thickBot="1" x14ac:dyDescent="0.3">
      <c r="A43" s="74">
        <f>A41+1</f>
        <v>19</v>
      </c>
      <c r="B43" s="62" t="s">
        <v>313</v>
      </c>
      <c r="C43" s="192">
        <f t="shared" ref="C43:M43" si="4">C39+C41</f>
        <v>4427234.5</v>
      </c>
      <c r="D43" s="192">
        <f t="shared" si="4"/>
        <v>4190117.8</v>
      </c>
      <c r="E43" s="192">
        <f t="shared" si="4"/>
        <v>3406592.7</v>
      </c>
      <c r="F43" s="192">
        <f t="shared" si="4"/>
        <v>2413258.4000000004</v>
      </c>
      <c r="G43" s="192">
        <f t="shared" si="4"/>
        <v>1736015.1</v>
      </c>
      <c r="H43" s="192">
        <f t="shared" si="4"/>
        <v>1413998.9999999998</v>
      </c>
      <c r="I43" s="192">
        <f t="shared" si="4"/>
        <v>1302043.5</v>
      </c>
      <c r="J43" s="192">
        <f t="shared" si="4"/>
        <v>1338040.8</v>
      </c>
      <c r="K43" s="192">
        <f t="shared" si="4"/>
        <v>1406375.5</v>
      </c>
      <c r="L43" s="192">
        <f t="shared" si="4"/>
        <v>1702344.9999999998</v>
      </c>
      <c r="M43" s="192">
        <f t="shared" si="4"/>
        <v>2334563.7000000002</v>
      </c>
      <c r="N43" s="192">
        <f>N39+N41</f>
        <v>3395856.6000000006</v>
      </c>
      <c r="O43" s="192">
        <f>SUM(C43:N43)</f>
        <v>29066442.600000001</v>
      </c>
      <c r="P43" s="80"/>
      <c r="Q43" s="85"/>
      <c r="R43" s="80"/>
    </row>
    <row r="44" spans="1:18" ht="16.2" thickTop="1" x14ac:dyDescent="0.3">
      <c r="A44" s="74"/>
      <c r="C44" s="193"/>
      <c r="D44" s="180"/>
      <c r="E44" s="194"/>
      <c r="F44" s="194"/>
      <c r="G44" s="190"/>
      <c r="H44" s="183"/>
      <c r="I44" s="194"/>
      <c r="J44" s="194"/>
      <c r="K44" s="194"/>
      <c r="L44" s="194"/>
      <c r="M44" s="194"/>
      <c r="N44" s="194"/>
      <c r="O44" s="195"/>
      <c r="P44" s="93"/>
      <c r="Q44" s="117"/>
      <c r="R44" s="93"/>
    </row>
    <row r="45" spans="1:18" x14ac:dyDescent="0.25">
      <c r="A45" s="74"/>
      <c r="C45" s="196"/>
      <c r="D45" s="196"/>
      <c r="E45" s="196"/>
      <c r="F45" s="196"/>
      <c r="G45" s="180"/>
      <c r="I45" s="196"/>
      <c r="J45" s="196"/>
      <c r="K45" s="196"/>
      <c r="L45" s="196"/>
      <c r="M45" s="196"/>
      <c r="N45" s="196"/>
      <c r="O45" s="95"/>
      <c r="P45" s="80"/>
      <c r="Q45" s="85"/>
      <c r="R45" s="80"/>
    </row>
    <row r="46" spans="1:18" x14ac:dyDescent="0.25">
      <c r="A46" s="62"/>
      <c r="C46" s="62"/>
      <c r="D46" s="59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R46" s="155"/>
    </row>
    <row r="47" spans="1:18" x14ac:dyDescent="0.25">
      <c r="A47" s="62"/>
      <c r="C47" s="62"/>
      <c r="D47" s="59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Q47" s="80"/>
      <c r="R47" s="80"/>
    </row>
    <row r="48" spans="1:18" x14ac:dyDescent="0.25">
      <c r="A48" s="62"/>
      <c r="C48" s="62"/>
      <c r="D48" s="59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Q48" s="80"/>
      <c r="R48" s="80"/>
    </row>
    <row r="49" spans="1:16" ht="15.6" x14ac:dyDescent="0.3">
      <c r="A49" s="987" t="s">
        <v>36</v>
      </c>
      <c r="B49" s="987"/>
      <c r="C49" s="987"/>
      <c r="D49" s="987"/>
      <c r="E49" s="987"/>
      <c r="F49" s="987"/>
      <c r="G49" s="987"/>
      <c r="H49" s="987"/>
      <c r="I49" s="987"/>
      <c r="J49" s="987"/>
      <c r="K49" s="987"/>
      <c r="L49" s="987"/>
      <c r="M49" s="987"/>
      <c r="N49" s="987"/>
      <c r="O49" s="987"/>
    </row>
    <row r="50" spans="1:16" ht="15.6" x14ac:dyDescent="0.3">
      <c r="A50" s="987" t="str">
        <f>A2</f>
        <v>Case No. 2016-00162</v>
      </c>
      <c r="B50" s="987"/>
      <c r="C50" s="987"/>
      <c r="D50" s="987"/>
      <c r="E50" s="987"/>
      <c r="F50" s="987"/>
      <c r="G50" s="987"/>
      <c r="H50" s="987"/>
      <c r="I50" s="987"/>
      <c r="J50" s="987"/>
      <c r="K50" s="987"/>
      <c r="L50" s="987"/>
      <c r="M50" s="987"/>
      <c r="N50" s="987"/>
      <c r="O50" s="987"/>
    </row>
    <row r="51" spans="1:16" ht="15.6" x14ac:dyDescent="0.3">
      <c r="A51" s="987" t="s">
        <v>201</v>
      </c>
      <c r="B51" s="987"/>
      <c r="C51" s="987"/>
      <c r="D51" s="987"/>
      <c r="E51" s="987"/>
      <c r="F51" s="987"/>
      <c r="G51" s="987"/>
      <c r="H51" s="987"/>
      <c r="I51" s="987"/>
      <c r="J51" s="987"/>
      <c r="K51" s="987"/>
      <c r="L51" s="987"/>
      <c r="M51" s="987"/>
      <c r="N51" s="987"/>
      <c r="O51" s="987"/>
    </row>
    <row r="52" spans="1:16" ht="15.6" x14ac:dyDescent="0.3">
      <c r="A52" s="987" t="str">
        <f>A4</f>
        <v>For the 12 Months Ended December 31, 2017</v>
      </c>
      <c r="B52" s="987"/>
      <c r="C52" s="987"/>
      <c r="D52" s="987"/>
      <c r="E52" s="987"/>
      <c r="F52" s="987"/>
      <c r="G52" s="987"/>
      <c r="H52" s="987"/>
      <c r="I52" s="987"/>
      <c r="J52" s="987"/>
      <c r="K52" s="987"/>
      <c r="L52" s="987"/>
      <c r="M52" s="987"/>
      <c r="N52" s="987"/>
      <c r="O52" s="987"/>
    </row>
    <row r="53" spans="1:16" ht="15.6" x14ac:dyDescent="0.3">
      <c r="A53" s="990" t="s">
        <v>39</v>
      </c>
      <c r="B53" s="990"/>
      <c r="C53" s="990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</row>
    <row r="54" spans="1:16" ht="15.6" x14ac:dyDescent="0.3">
      <c r="A54" s="47" t="s">
        <v>330</v>
      </c>
    </row>
    <row r="55" spans="1:16" ht="15.6" x14ac:dyDescent="0.3">
      <c r="A55" s="47" t="s">
        <v>223</v>
      </c>
      <c r="O55" s="49" t="s">
        <v>37</v>
      </c>
    </row>
    <row r="56" spans="1:16" ht="15.6" x14ac:dyDescent="0.3">
      <c r="A56" s="50" t="s">
        <v>63</v>
      </c>
      <c r="O56" s="49" t="s">
        <v>331</v>
      </c>
    </row>
    <row r="57" spans="1:16" ht="15.6" x14ac:dyDescent="0.3">
      <c r="A57" s="208" t="s">
        <v>302</v>
      </c>
      <c r="O57" s="207" t="str">
        <f>O9</f>
        <v>Witness: M. J. Bell</v>
      </c>
    </row>
    <row r="58" spans="1:16" ht="15.6" x14ac:dyDescent="0.3">
      <c r="A58" s="50"/>
      <c r="O58" s="49"/>
    </row>
    <row r="59" spans="1:16" ht="15.6" x14ac:dyDescent="0.3">
      <c r="A59" s="989" t="s">
        <v>293</v>
      </c>
      <c r="B59" s="989"/>
      <c r="C59" s="989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51"/>
    </row>
    <row r="60" spans="1:16" ht="15.6" x14ac:dyDescent="0.3">
      <c r="A60" s="50"/>
      <c r="B60" s="51"/>
      <c r="C60" s="51"/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ht="15.6" x14ac:dyDescent="0.3">
      <c r="A61" s="45" t="s">
        <v>1</v>
      </c>
      <c r="B61" s="97"/>
      <c r="C61" s="45"/>
      <c r="D61" s="45"/>
    </row>
    <row r="62" spans="1:16" ht="15.6" x14ac:dyDescent="0.3">
      <c r="A62" s="45" t="s">
        <v>3</v>
      </c>
      <c r="B62" s="45" t="s">
        <v>4</v>
      </c>
      <c r="C62" s="159" t="str">
        <f>B!$D$11</f>
        <v>Jan-17</v>
      </c>
      <c r="D62" s="159" t="str">
        <f>B!$E$11</f>
        <v>Feb-17</v>
      </c>
      <c r="E62" s="159" t="str">
        <f>B!$F$11</f>
        <v>Mar-17</v>
      </c>
      <c r="F62" s="159" t="str">
        <f>B!$G$11</f>
        <v>Apr-17</v>
      </c>
      <c r="G62" s="159" t="str">
        <f>B!$H$11</f>
        <v>May-17</v>
      </c>
      <c r="H62" s="159" t="str">
        <f>B!$I$11</f>
        <v>Jun-17</v>
      </c>
      <c r="I62" s="159" t="str">
        <f>B!$J$11</f>
        <v>Jul-17</v>
      </c>
      <c r="J62" s="159" t="str">
        <f>B!$K$11</f>
        <v>Aug-17</v>
      </c>
      <c r="K62" s="159" t="str">
        <f>B!$L$11</f>
        <v>Sep-17</v>
      </c>
      <c r="L62" s="159" t="str">
        <f>B!$M$11</f>
        <v>Oct-17</v>
      </c>
      <c r="M62" s="159" t="str">
        <f>B!$N$11</f>
        <v>Nov-17</v>
      </c>
      <c r="N62" s="159" t="s">
        <v>420</v>
      </c>
      <c r="O62" s="56" t="s">
        <v>9</v>
      </c>
    </row>
    <row r="63" spans="1:16" ht="15.6" x14ac:dyDescent="0.3">
      <c r="A63" s="45"/>
      <c r="B63" s="4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1:16" ht="15.6" x14ac:dyDescent="0.3">
      <c r="A64" s="74">
        <v>1</v>
      </c>
      <c r="B64" s="156" t="s">
        <v>403</v>
      </c>
      <c r="C64" s="107"/>
      <c r="D64" s="107"/>
      <c r="E64" s="107"/>
      <c r="F64" s="107"/>
      <c r="G64" s="107"/>
      <c r="H64" s="75"/>
      <c r="I64" s="75"/>
      <c r="J64" s="75"/>
      <c r="K64" s="75"/>
      <c r="L64" s="75"/>
      <c r="M64" s="75"/>
      <c r="N64" s="75"/>
      <c r="O64" s="75"/>
    </row>
    <row r="65" spans="1:18" ht="15.6" x14ac:dyDescent="0.3">
      <c r="A65" s="74"/>
      <c r="B65" s="156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1:18" x14ac:dyDescent="0.25">
      <c r="A66" s="74">
        <f>A64+1</f>
        <v>2</v>
      </c>
      <c r="B66" s="164" t="s">
        <v>304</v>
      </c>
      <c r="C66" s="176">
        <f>'Sch M 2.3'!E69+'Sch M 2.3'!E83+'Sch M 2.3'!E90+'Sch M 2.3'!E97+'Sch M 2.3'!E104+'Sch M 2.3'!E131+'Sch M 2.3'!E145+'Sch M 2.3'!E152</f>
        <v>9501640.3300000019</v>
      </c>
      <c r="D66" s="176">
        <f>'Sch M 2.3'!F69+'Sch M 2.3'!F83+'Sch M 2.3'!F90+'Sch M 2.3'!F97+'Sch M 2.3'!F104+'Sch M 2.3'!F131+'Sch M 2.3'!F145+'Sch M 2.3'!F152</f>
        <v>9264126.4700000007</v>
      </c>
      <c r="E66" s="176">
        <f>'Sch M 2.3'!G69+'Sch M 2.3'!G83+'Sch M 2.3'!G90+'Sch M 2.3'!G97+'Sch M 2.3'!G104+'Sch M 2.3'!G131+'Sch M 2.3'!G145+'Sch M 2.3'!G152</f>
        <v>7364679.6599999983</v>
      </c>
      <c r="F66" s="176">
        <f>'Sch M 2.3'!H69+'Sch M 2.3'!H83+'Sch M 2.3'!H90+'Sch M 2.3'!H97+'Sch M 2.3'!H104+'Sch M 2.3'!H131+'Sch M 2.3'!H145+'Sch M 2.3'!H152</f>
        <v>4915467.42</v>
      </c>
      <c r="G66" s="176">
        <f>'Sch M 2.3'!I69+'Sch M 2.3'!I83+'Sch M 2.3'!I90+'Sch M 2.3'!I97+'Sch M 2.3'!I104+'Sch M 2.3'!I131+'Sch M 2.3'!I145+'Sch M 2.3'!I152</f>
        <v>3183162.4899999993</v>
      </c>
      <c r="H66" s="176">
        <f>'Sch M 2.3'!J69+'Sch M 2.3'!J83+'Sch M 2.3'!J90+'Sch M 2.3'!J97+'Sch M 2.3'!J104+'Sch M 2.3'!J131+'Sch M 2.3'!J145+'Sch M 2.3'!J152</f>
        <v>2367187.59</v>
      </c>
      <c r="I66" s="176">
        <f>'Sch M 2.3'!K69+'Sch M 2.3'!K83+'Sch M 2.3'!K90+'Sch M 2.3'!K97+'Sch M 2.3'!K104+'Sch M 2.3'!K131+'Sch M 2.3'!K145+'Sch M 2.3'!K152</f>
        <v>2146913.0900000003</v>
      </c>
      <c r="J66" s="176">
        <f>'Sch M 2.3'!L69+'Sch M 2.3'!L83+'Sch M 2.3'!L90+'Sch M 2.3'!L97+'Sch M 2.3'!L104+'Sch M 2.3'!L131+'Sch M 2.3'!L145+'Sch M 2.3'!L152</f>
        <v>2135635.5900000003</v>
      </c>
      <c r="K66" s="176">
        <f>'Sch M 2.3'!M69+'Sch M 2.3'!M83+'Sch M 2.3'!M90+'Sch M 2.3'!M97+'Sch M 2.3'!M104+'Sch M 2.3'!M131+'Sch M 2.3'!M145+'Sch M 2.3'!M152</f>
        <v>2142555.5900000008</v>
      </c>
      <c r="L66" s="176">
        <f>'Sch M 2.3'!N69+'Sch M 2.3'!N83+'Sch M 2.3'!N90+'Sch M 2.3'!N97+'Sch M 2.3'!N104+'Sch M 2.3'!N131+'Sch M 2.3'!N145+'Sch M 2.3'!N152</f>
        <v>2453619.6499999994</v>
      </c>
      <c r="M66" s="176">
        <f>'Sch M 2.3'!O69+'Sch M 2.3'!O83+'Sch M 2.3'!O90+'Sch M 2.3'!O97+'Sch M 2.3'!O104+'Sch M 2.3'!O131+'Sch M 2.3'!O145+'Sch M 2.3'!O152</f>
        <v>4041980.8400000008</v>
      </c>
      <c r="N66" s="176">
        <f>'Sch M 2.3'!P69+'Sch M 2.3'!P83+'Sch M 2.3'!P90+'Sch M 2.3'!P97+'Sch M 2.3'!P104+'Sch M 2.3'!P131+'Sch M 2.3'!P145+'Sch M 2.3'!P152</f>
        <v>6988839.4200000009</v>
      </c>
      <c r="O66" s="177">
        <f>SUM(C66:N66)</f>
        <v>56505808.140000023</v>
      </c>
    </row>
    <row r="67" spans="1:18" x14ac:dyDescent="0.25">
      <c r="A67" s="74">
        <f>A66+1</f>
        <v>3</v>
      </c>
      <c r="B67" s="156" t="s">
        <v>305</v>
      </c>
      <c r="C67" s="178">
        <f>'Sch M 2.3'!E76+'Sch M 2.3'!E138+'Sch M 2.3'!E159</f>
        <v>3649346.2</v>
      </c>
      <c r="D67" s="178">
        <f>'Sch M 2.3'!F76+'Sch M 2.3'!F138+'Sch M 2.3'!F159</f>
        <v>3636388.24</v>
      </c>
      <c r="E67" s="178">
        <f>'Sch M 2.3'!G76+'Sch M 2.3'!G138+'Sch M 2.3'!G159</f>
        <v>2692275.7</v>
      </c>
      <c r="F67" s="178">
        <f>'Sch M 2.3'!H76+'Sch M 2.3'!H138+'Sch M 2.3'!H159</f>
        <v>1817548.83</v>
      </c>
      <c r="G67" s="178">
        <f>'Sch M 2.3'!I76+'Sch M 2.3'!I138+'Sch M 2.3'!I159</f>
        <v>1109287.3499999999</v>
      </c>
      <c r="H67" s="178">
        <f>'Sch M 2.3'!J76+'Sch M 2.3'!J138+'Sch M 2.3'!J159</f>
        <v>840208.6100000001</v>
      </c>
      <c r="I67" s="178">
        <f>'Sch M 2.3'!K76+'Sch M 2.3'!K138+'Sch M 2.3'!K159</f>
        <v>723542.29999999981</v>
      </c>
      <c r="J67" s="178">
        <f>'Sch M 2.3'!L76+'Sch M 2.3'!L138+'Sch M 2.3'!L159</f>
        <v>703418.09000000008</v>
      </c>
      <c r="K67" s="178">
        <f>'Sch M 2.3'!M76+'Sch M 2.3'!M138+'Sch M 2.3'!M159</f>
        <v>697548.09</v>
      </c>
      <c r="L67" s="178">
        <f>'Sch M 2.3'!N76+'Sch M 2.3'!N138+'Sch M 2.3'!N159</f>
        <v>824257.02999999991</v>
      </c>
      <c r="M67" s="178">
        <f>'Sch M 2.3'!O76+'Sch M 2.3'!O138+'Sch M 2.3'!O159</f>
        <v>1292186.1499999997</v>
      </c>
      <c r="N67" s="178">
        <f>'Sch M 2.3'!P76+'Sch M 2.3'!P138+'Sch M 2.3'!P159</f>
        <v>2518172.3299999996</v>
      </c>
      <c r="O67" s="177">
        <f>SUM(C67:N67)</f>
        <v>20504178.919999998</v>
      </c>
    </row>
    <row r="68" spans="1:18" x14ac:dyDescent="0.25">
      <c r="A68" s="74">
        <f>A67+1</f>
        <v>4</v>
      </c>
      <c r="B68" s="156" t="s">
        <v>306</v>
      </c>
      <c r="C68" s="183">
        <f>'Sch M 2.3'!E186+'Sch M 2.3'!E193</f>
        <v>147631.26</v>
      </c>
      <c r="D68" s="183">
        <f>'Sch M 2.3'!F186+'Sch M 2.3'!F193</f>
        <v>142998.37</v>
      </c>
      <c r="E68" s="183">
        <f>'Sch M 2.3'!G186+'Sch M 2.3'!G193</f>
        <v>138402.81999999998</v>
      </c>
      <c r="F68" s="183">
        <f>'Sch M 2.3'!H186+'Sch M 2.3'!H193</f>
        <v>133417.09999999998</v>
      </c>
      <c r="G68" s="183">
        <f>'Sch M 2.3'!I186+'Sch M 2.3'!I193</f>
        <v>128287.56999999999</v>
      </c>
      <c r="H68" s="183">
        <f>'Sch M 2.3'!J186+'Sch M 2.3'!J193</f>
        <v>123398.93000000001</v>
      </c>
      <c r="I68" s="183">
        <f>'Sch M 2.3'!K186+'Sch M 2.3'!K193</f>
        <v>123397.67000000001</v>
      </c>
      <c r="J68" s="183">
        <f>'Sch M 2.3'!L186+'Sch M 2.3'!L193</f>
        <v>128024.31</v>
      </c>
      <c r="K68" s="183">
        <f>'Sch M 2.3'!M186+'Sch M 2.3'!M193</f>
        <v>127972.95999999999</v>
      </c>
      <c r="L68" s="183">
        <f>'Sch M 2.3'!N186+'Sch M 2.3'!N193</f>
        <v>137285.26</v>
      </c>
      <c r="M68" s="183">
        <f>'Sch M 2.3'!O186+'Sch M 2.3'!O193</f>
        <v>137875.73000000001</v>
      </c>
      <c r="N68" s="183">
        <f>'Sch M 2.3'!P186+'Sch M 2.3'!P193</f>
        <v>138602.26</v>
      </c>
      <c r="O68" s="177">
        <f>SUM(C68:N68)</f>
        <v>1607294.24</v>
      </c>
    </row>
    <row r="69" spans="1:18" x14ac:dyDescent="0.25">
      <c r="A69" s="74">
        <f>A68+1</f>
        <v>5</v>
      </c>
      <c r="B69" s="156" t="s">
        <v>307</v>
      </c>
      <c r="C69" s="63">
        <f>'Sch M 2.3'!E200</f>
        <v>11795.18</v>
      </c>
      <c r="D69" s="63">
        <f>'Sch M 2.3'!F200</f>
        <v>8976.06</v>
      </c>
      <c r="E69" s="63">
        <f>'Sch M 2.3'!G200</f>
        <v>4868.5000000000009</v>
      </c>
      <c r="F69" s="63">
        <f>'Sch M 2.3'!H200</f>
        <v>3315.68</v>
      </c>
      <c r="G69" s="63">
        <f>'Sch M 2.3'!I200</f>
        <v>2368.15</v>
      </c>
      <c r="H69" s="63">
        <f>'Sch M 2.3'!J200</f>
        <v>1887.25</v>
      </c>
      <c r="I69" s="63">
        <f>'Sch M 2.3'!K200</f>
        <v>1967.4599999999998</v>
      </c>
      <c r="J69" s="63">
        <f>'Sch M 2.3'!L200</f>
        <v>1801.9499999999998</v>
      </c>
      <c r="K69" s="63">
        <f>'Sch M 2.3'!M200</f>
        <v>1802.9599999999998</v>
      </c>
      <c r="L69" s="63">
        <f>'Sch M 2.3'!N200</f>
        <v>3531.5</v>
      </c>
      <c r="M69" s="63">
        <f>'Sch M 2.3'!O200</f>
        <v>4582</v>
      </c>
      <c r="N69" s="63">
        <f>'Sch M 2.3'!P200</f>
        <v>5195.4399999999996</v>
      </c>
      <c r="O69" s="63">
        <f>SUM(C69:N69)</f>
        <v>52092.13</v>
      </c>
    </row>
    <row r="70" spans="1:18" x14ac:dyDescent="0.25">
      <c r="A70" s="74">
        <f>A69+1</f>
        <v>6</v>
      </c>
      <c r="B70" s="156" t="s">
        <v>308</v>
      </c>
      <c r="C70" s="48">
        <f t="shared" ref="C70:M70" si="5">SUM(C66:C69)</f>
        <v>13310412.970000001</v>
      </c>
      <c r="D70" s="48">
        <f t="shared" si="5"/>
        <v>13052489.140000001</v>
      </c>
      <c r="E70" s="48">
        <f t="shared" si="5"/>
        <v>10200226.68</v>
      </c>
      <c r="F70" s="48">
        <f t="shared" si="5"/>
        <v>6869749.0299999993</v>
      </c>
      <c r="G70" s="48">
        <f t="shared" si="5"/>
        <v>4423105.5599999996</v>
      </c>
      <c r="H70" s="48">
        <f t="shared" si="5"/>
        <v>3332682.3800000004</v>
      </c>
      <c r="I70" s="48">
        <f t="shared" si="5"/>
        <v>2995820.52</v>
      </c>
      <c r="J70" s="48">
        <f t="shared" si="5"/>
        <v>2968879.9400000009</v>
      </c>
      <c r="K70" s="48">
        <f t="shared" si="5"/>
        <v>2969879.6000000006</v>
      </c>
      <c r="L70" s="48">
        <f t="shared" si="5"/>
        <v>3418693.4399999995</v>
      </c>
      <c r="M70" s="48">
        <f t="shared" si="5"/>
        <v>5476624.7200000007</v>
      </c>
      <c r="N70" s="48">
        <f>SUM(N66:N69)</f>
        <v>9650809.4499999993</v>
      </c>
      <c r="O70" s="181">
        <f>SUM(O66:O69)</f>
        <v>78669373.430000007</v>
      </c>
    </row>
    <row r="71" spans="1:18" x14ac:dyDescent="0.25">
      <c r="A71" s="74"/>
      <c r="C71" s="182"/>
      <c r="D71" s="182"/>
      <c r="E71" s="182"/>
      <c r="F71" s="182"/>
      <c r="O71" s="62"/>
    </row>
    <row r="72" spans="1:18" x14ac:dyDescent="0.25">
      <c r="A72" s="74">
        <f>A70+1</f>
        <v>7</v>
      </c>
      <c r="B72" s="156" t="s">
        <v>309</v>
      </c>
      <c r="C72" s="183">
        <f>'Sch M 2.3'!E227+'Sch M 2.3'!E234+'Sch M 2.3'!E241+'Sch M 2.3'!E248+'Sch M 2.3'!E255+'Sch M 2.3'!E262+'Sch M 2.3'!E290+'Sch M 2.3'!E297+'Sch M 2.3'!E304+'Sch M 2.3'!E311+'Sch M 2.3'!E318+'Sch M 2.3'!E325+'Sch M 2.3'!E352+'Sch M 2.3'!E359</f>
        <v>3605278.5100000012</v>
      </c>
      <c r="D72" s="183">
        <f>'Sch M 2.3'!F227+'Sch M 2.3'!F234+'Sch M 2.3'!F241+'Sch M 2.3'!F248+'Sch M 2.3'!F255+'Sch M 2.3'!F262+'Sch M 2.3'!F290+'Sch M 2.3'!F297+'Sch M 2.3'!F304+'Sch M 2.3'!F311+'Sch M 2.3'!F318+'Sch M 2.3'!F325+'Sch M 2.3'!F352+'Sch M 2.3'!F359</f>
        <v>3467515.2600000002</v>
      </c>
      <c r="E72" s="183">
        <f>'Sch M 2.3'!G227+'Sch M 2.3'!G234+'Sch M 2.3'!G241+'Sch M 2.3'!G248+'Sch M 2.3'!G255+'Sch M 2.3'!G262+'Sch M 2.3'!G290+'Sch M 2.3'!G297+'Sch M 2.3'!G304+'Sch M 2.3'!G311+'Sch M 2.3'!G318+'Sch M 2.3'!G325+'Sch M 2.3'!G352+'Sch M 2.3'!G359</f>
        <v>2923750.4400000004</v>
      </c>
      <c r="F72" s="183">
        <f>'Sch M 2.3'!H227+'Sch M 2.3'!H234+'Sch M 2.3'!H241+'Sch M 2.3'!H248+'Sch M 2.3'!H255+'Sch M 2.3'!H262+'Sch M 2.3'!H290+'Sch M 2.3'!H297+'Sch M 2.3'!H304+'Sch M 2.3'!H311+'Sch M 2.3'!H318+'Sch M 2.3'!H325+'Sch M 2.3'!H352+'Sch M 2.3'!H359</f>
        <v>2195130.8800000004</v>
      </c>
      <c r="G72" s="183">
        <f>'Sch M 2.3'!I227+'Sch M 2.3'!I234+'Sch M 2.3'!I241+'Sch M 2.3'!I248+'Sch M 2.3'!I255+'Sch M 2.3'!I262+'Sch M 2.3'!I290+'Sch M 2.3'!I297+'Sch M 2.3'!I304+'Sch M 2.3'!I311+'Sch M 2.3'!I318+'Sch M 2.3'!I325+'Sch M 2.3'!I352+'Sch M 2.3'!I359</f>
        <v>1695359.1199999999</v>
      </c>
      <c r="H72" s="183">
        <f>'Sch M 2.3'!J227+'Sch M 2.3'!J234+'Sch M 2.3'!J241+'Sch M 2.3'!J248+'Sch M 2.3'!J255+'Sch M 2.3'!J262+'Sch M 2.3'!J290+'Sch M 2.3'!J297+'Sch M 2.3'!J304+'Sch M 2.3'!J311+'Sch M 2.3'!J318+'Sch M 2.3'!J325+'Sch M 2.3'!J352+'Sch M 2.3'!J359</f>
        <v>1449465.2299999997</v>
      </c>
      <c r="I72" s="183">
        <f>'Sch M 2.3'!K227+'Sch M 2.3'!K234+'Sch M 2.3'!K241+'Sch M 2.3'!K248+'Sch M 2.3'!K255+'Sch M 2.3'!K262+'Sch M 2.3'!K290+'Sch M 2.3'!K297+'Sch M 2.3'!K304+'Sch M 2.3'!K311+'Sch M 2.3'!K318+'Sch M 2.3'!K325+'Sch M 2.3'!K352+'Sch M 2.3'!K359</f>
        <v>1371323.3</v>
      </c>
      <c r="J72" s="183">
        <f>'Sch M 2.3'!L227+'Sch M 2.3'!L234+'Sch M 2.3'!L241+'Sch M 2.3'!L248+'Sch M 2.3'!L255+'Sch M 2.3'!L262+'Sch M 2.3'!L290+'Sch M 2.3'!L297+'Sch M 2.3'!L304+'Sch M 2.3'!L311+'Sch M 2.3'!L318+'Sch M 2.3'!L325+'Sch M 2.3'!L352+'Sch M 2.3'!L359</f>
        <v>1380842.72</v>
      </c>
      <c r="K72" s="183">
        <f>'Sch M 2.3'!M227+'Sch M 2.3'!M234+'Sch M 2.3'!M241+'Sch M 2.3'!M248+'Sch M 2.3'!M255+'Sch M 2.3'!M262+'Sch M 2.3'!M290+'Sch M 2.3'!M297+'Sch M 2.3'!M304+'Sch M 2.3'!M311+'Sch M 2.3'!M318+'Sch M 2.3'!M325+'Sch M 2.3'!M352+'Sch M 2.3'!M359</f>
        <v>1425742.15</v>
      </c>
      <c r="L72" s="183">
        <f>'Sch M 2.3'!N227+'Sch M 2.3'!N234+'Sch M 2.3'!N241+'Sch M 2.3'!N248+'Sch M 2.3'!N255+'Sch M 2.3'!N262+'Sch M 2.3'!N290+'Sch M 2.3'!N297+'Sch M 2.3'!N304+'Sch M 2.3'!N311+'Sch M 2.3'!N318+'Sch M 2.3'!N325+'Sch M 2.3'!N352+'Sch M 2.3'!N359</f>
        <v>1608374.34</v>
      </c>
      <c r="M72" s="183">
        <f>'Sch M 2.3'!O227+'Sch M 2.3'!O234+'Sch M 2.3'!O241+'Sch M 2.3'!O248+'Sch M 2.3'!O255+'Sch M 2.3'!O262+'Sch M 2.3'!O290+'Sch M 2.3'!O297+'Sch M 2.3'!O304+'Sch M 2.3'!O311+'Sch M 2.3'!O318+'Sch M 2.3'!O325+'Sch M 2.3'!O352+'Sch M 2.3'!O359</f>
        <v>2088413.56</v>
      </c>
      <c r="N72" s="183">
        <f>'Sch M 2.3'!P227+'Sch M 2.3'!P234+'Sch M 2.3'!P241+'Sch M 2.3'!P248+'Sch M 2.3'!P255+'Sch M 2.3'!P262+'Sch M 2.3'!P290+'Sch M 2.3'!P297+'Sch M 2.3'!P304+'Sch M 2.3'!P311+'Sch M 2.3'!P318+'Sch M 2.3'!P325+'Sch M 2.3'!P352+'Sch M 2.3'!P359</f>
        <v>3107477.6300000008</v>
      </c>
      <c r="O72" s="179">
        <f>SUM(C72:N72)</f>
        <v>26318673.140000001</v>
      </c>
    </row>
    <row r="73" spans="1:18" x14ac:dyDescent="0.25">
      <c r="A73" s="74">
        <f>A72+1</f>
        <v>8</v>
      </c>
      <c r="B73" s="156" t="s">
        <v>310</v>
      </c>
      <c r="C73" s="48">
        <f>'Sch M 2.3'!E371</f>
        <v>141811</v>
      </c>
      <c r="D73" s="48">
        <f>'Sch M 2.3'!F371</f>
        <v>157811</v>
      </c>
      <c r="E73" s="48">
        <f>'Sch M 2.3'!G371</f>
        <v>161811</v>
      </c>
      <c r="F73" s="48">
        <f>'Sch M 2.3'!H371</f>
        <v>183811</v>
      </c>
      <c r="G73" s="48">
        <f>'Sch M 2.3'!I371</f>
        <v>85811</v>
      </c>
      <c r="H73" s="48">
        <f>'Sch M 2.3'!J371</f>
        <v>66811</v>
      </c>
      <c r="I73" s="48">
        <f>'Sch M 2.3'!K371</f>
        <v>56811</v>
      </c>
      <c r="J73" s="48">
        <f>'Sch M 2.3'!L371</f>
        <v>53811</v>
      </c>
      <c r="K73" s="48">
        <f>'Sch M 2.3'!M371</f>
        <v>58811</v>
      </c>
      <c r="L73" s="48">
        <f>'Sch M 2.3'!N371</f>
        <v>59811</v>
      </c>
      <c r="M73" s="48">
        <f>'Sch M 2.3'!O371</f>
        <v>74811</v>
      </c>
      <c r="N73" s="48">
        <f>'Sch M 2.3'!P371</f>
        <v>167811</v>
      </c>
      <c r="O73" s="179">
        <f>SUM(C73:N73)</f>
        <v>1269732</v>
      </c>
    </row>
    <row r="74" spans="1:18" x14ac:dyDescent="0.25">
      <c r="A74" s="74"/>
      <c r="O74" s="184"/>
      <c r="R74" s="114"/>
    </row>
    <row r="75" spans="1:18" x14ac:dyDescent="0.25">
      <c r="A75" s="74">
        <f>A73+1</f>
        <v>9</v>
      </c>
      <c r="B75" s="156" t="s">
        <v>311</v>
      </c>
      <c r="C75" s="48">
        <f t="shared" ref="C75:M75" si="6">C70+C72+C73</f>
        <v>17057502.48</v>
      </c>
      <c r="D75" s="48">
        <f t="shared" si="6"/>
        <v>16677815.4</v>
      </c>
      <c r="E75" s="48">
        <f t="shared" si="6"/>
        <v>13285788.120000001</v>
      </c>
      <c r="F75" s="48">
        <f t="shared" si="6"/>
        <v>9248690.9100000001</v>
      </c>
      <c r="G75" s="48">
        <f t="shared" si="6"/>
        <v>6204275.6799999997</v>
      </c>
      <c r="H75" s="48">
        <f t="shared" si="6"/>
        <v>4848958.6100000003</v>
      </c>
      <c r="I75" s="48">
        <f t="shared" si="6"/>
        <v>4423954.82</v>
      </c>
      <c r="J75" s="48">
        <f t="shared" si="6"/>
        <v>4403533.6600000011</v>
      </c>
      <c r="K75" s="48">
        <f t="shared" si="6"/>
        <v>4454432.75</v>
      </c>
      <c r="L75" s="48">
        <f t="shared" si="6"/>
        <v>5086878.7799999993</v>
      </c>
      <c r="M75" s="48">
        <f t="shared" si="6"/>
        <v>7639849.2800000012</v>
      </c>
      <c r="N75" s="48">
        <f>N70+N72+N73</f>
        <v>12926098.08</v>
      </c>
      <c r="O75" s="179">
        <f>SUM(C75:N75)</f>
        <v>106257778.57000001</v>
      </c>
      <c r="R75" s="114"/>
    </row>
    <row r="76" spans="1:18" x14ac:dyDescent="0.25">
      <c r="A76" s="74">
        <f>A75+1</f>
        <v>10</v>
      </c>
      <c r="B76" s="156" t="s">
        <v>151</v>
      </c>
      <c r="C76" s="185">
        <f>'Sch M 2.3'!E68+'Sch M 2.3'!E75+'Sch M 2.3'!E82+'Sch M 2.3'!E89++'Sch M 2.3'!E96+'Sch M 2.3'!E103+'Sch M 2.3'!E130+'Sch M 2.3'!E137+'Sch M 2.3'!E144+'Sch M 2.3'!E151+'Sch M 2.3'!E158+'Sch M 2.3'!E185+'Sch M 2.3'!E192+'Sch M 2.3'!E199</f>
        <v>4483477.790000001</v>
      </c>
      <c r="D76" s="185">
        <f>'Sch M 2.3'!F68+'Sch M 2.3'!F75+'Sch M 2.3'!F82+'Sch M 2.3'!F89++'Sch M 2.3'!F96+'Sch M 2.3'!F103+'Sch M 2.3'!F130+'Sch M 2.3'!F137+'Sch M 2.3'!F144+'Sch M 2.3'!F151+'Sch M 2.3'!F158+'Sch M 2.3'!F185+'Sch M 2.3'!F192+'Sch M 2.3'!F199</f>
        <v>4376758.3900000006</v>
      </c>
      <c r="E76" s="185">
        <f>'Sch M 2.3'!G68+'Sch M 2.3'!G75+'Sch M 2.3'!G82+'Sch M 2.3'!G89++'Sch M 2.3'!G96+'Sch M 2.3'!G103+'Sch M 2.3'!G130+'Sch M 2.3'!G137+'Sch M 2.3'!G144+'Sch M 2.3'!G151+'Sch M 2.3'!G158+'Sch M 2.3'!G185+'Sch M 2.3'!G192+'Sch M 2.3'!G199</f>
        <v>3220650.43</v>
      </c>
      <c r="F76" s="185">
        <f>'Sch M 2.3'!H68+'Sch M 2.3'!H75+'Sch M 2.3'!H82+'Sch M 2.3'!H89++'Sch M 2.3'!H96+'Sch M 2.3'!H103+'Sch M 2.3'!H130+'Sch M 2.3'!H137+'Sch M 2.3'!H144+'Sch M 2.3'!H151+'Sch M 2.3'!H158+'Sch M 2.3'!H185+'Sch M 2.3'!H192+'Sch M 2.3'!H199</f>
        <v>1901250.88</v>
      </c>
      <c r="G76" s="185">
        <f>'Sch M 2.3'!I68+'Sch M 2.3'!I75+'Sch M 2.3'!I82+'Sch M 2.3'!I89++'Sch M 2.3'!I96+'Sch M 2.3'!I103+'Sch M 2.3'!I130+'Sch M 2.3'!I137+'Sch M 2.3'!I144+'Sch M 2.3'!I151+'Sch M 2.3'!I158+'Sch M 2.3'!I185+'Sch M 2.3'!I192+'Sch M 2.3'!I199</f>
        <v>935708.05000000016</v>
      </c>
      <c r="H76" s="185">
        <f>'Sch M 2.3'!J68+'Sch M 2.3'!J75+'Sch M 2.3'!J82+'Sch M 2.3'!J89++'Sch M 2.3'!J96+'Sch M 2.3'!J103+'Sch M 2.3'!J130+'Sch M 2.3'!J137+'Sch M 2.3'!J144+'Sch M 2.3'!J151+'Sch M 2.3'!J158+'Sch M 2.3'!J185+'Sch M 2.3'!J192+'Sch M 2.3'!J199</f>
        <v>513952.18000000005</v>
      </c>
      <c r="I76" s="185">
        <f>'Sch M 2.3'!K68+'Sch M 2.3'!K75+'Sch M 2.3'!K82+'Sch M 2.3'!K89++'Sch M 2.3'!K96+'Sch M 2.3'!K103+'Sch M 2.3'!K130+'Sch M 2.3'!K137+'Sch M 2.3'!K144+'Sch M 2.3'!K151+'Sch M 2.3'!K158+'Sch M 2.3'!K185+'Sch M 2.3'!K192+'Sch M 2.3'!K199</f>
        <v>383735.23999999993</v>
      </c>
      <c r="J76" s="185">
        <f>'Sch M 2.3'!L68+'Sch M 2.3'!L75+'Sch M 2.3'!L82+'Sch M 2.3'!L89++'Sch M 2.3'!L96+'Sch M 2.3'!L103+'Sch M 2.3'!L130+'Sch M 2.3'!L137+'Sch M 2.3'!L144+'Sch M 2.3'!L151+'Sch M 2.3'!L158+'Sch M 2.3'!L185+'Sch M 2.3'!L192+'Sch M 2.3'!L199</f>
        <v>370504.07000000007</v>
      </c>
      <c r="K76" s="185">
        <f>'Sch M 2.3'!M68+'Sch M 2.3'!M75+'Sch M 2.3'!M82+'Sch M 2.3'!M89++'Sch M 2.3'!M96+'Sch M 2.3'!M103+'Sch M 2.3'!M130+'Sch M 2.3'!M137+'Sch M 2.3'!M144+'Sch M 2.3'!M151+'Sch M 2.3'!M158+'Sch M 2.3'!M185+'Sch M 2.3'!M192+'Sch M 2.3'!M199</f>
        <v>374902.17</v>
      </c>
      <c r="L76" s="185">
        <f>'Sch M 2.3'!N68+'Sch M 2.3'!N75+'Sch M 2.3'!N82+'Sch M 2.3'!N89++'Sch M 2.3'!N96+'Sch M 2.3'!N103+'Sch M 2.3'!N130+'Sch M 2.3'!N137+'Sch M 2.3'!N144+'Sch M 2.3'!N151+'Sch M 2.3'!N158+'Sch M 2.3'!N185+'Sch M 2.3'!N192+'Sch M 2.3'!N199</f>
        <v>553542.36</v>
      </c>
      <c r="M76" s="185">
        <f>'Sch M 2.3'!O68+'Sch M 2.3'!O75+'Sch M 2.3'!O82+'Sch M 2.3'!O89++'Sch M 2.3'!O96+'Sch M 2.3'!O103+'Sch M 2.3'!O130+'Sch M 2.3'!O137+'Sch M 2.3'!O144+'Sch M 2.3'!O151+'Sch M 2.3'!O158+'Sch M 2.3'!O185+'Sch M 2.3'!O192+'Sch M 2.3'!O199</f>
        <v>1351384.0199999998</v>
      </c>
      <c r="N76" s="185">
        <f>'Sch M 2.3'!P68+'Sch M 2.3'!P75+'Sch M 2.3'!P82+'Sch M 2.3'!P89++'Sch M 2.3'!P96+'Sch M 2.3'!P103+'Sch M 2.3'!P130+'Sch M 2.3'!P137+'Sch M 2.3'!P144+'Sch M 2.3'!P151+'Sch M 2.3'!P158+'Sch M 2.3'!P185+'Sch M 2.3'!P192+'Sch M 2.3'!P199</f>
        <v>3010084.5300000003</v>
      </c>
      <c r="O76" s="179">
        <f>SUM(C76:N76)</f>
        <v>21475950.110000003</v>
      </c>
      <c r="R76" s="114"/>
    </row>
    <row r="77" spans="1:18" x14ac:dyDescent="0.25">
      <c r="A77" s="74"/>
      <c r="B77" s="156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59"/>
      <c r="R77" s="114"/>
    </row>
    <row r="78" spans="1:18" ht="15.6" thickBot="1" x14ac:dyDescent="0.3">
      <c r="A78" s="74">
        <f>A76+1</f>
        <v>11</v>
      </c>
      <c r="B78" s="156" t="s">
        <v>312</v>
      </c>
      <c r="C78" s="186">
        <f t="shared" ref="C78:M78" si="7">C75-C76</f>
        <v>12574024.689999999</v>
      </c>
      <c r="D78" s="186">
        <f t="shared" si="7"/>
        <v>12301057.01</v>
      </c>
      <c r="E78" s="186">
        <f t="shared" si="7"/>
        <v>10065137.690000001</v>
      </c>
      <c r="F78" s="186">
        <f t="shared" si="7"/>
        <v>7347440.0300000003</v>
      </c>
      <c r="G78" s="186">
        <f t="shared" si="7"/>
        <v>5268567.63</v>
      </c>
      <c r="H78" s="186">
        <f t="shared" si="7"/>
        <v>4335006.4300000006</v>
      </c>
      <c r="I78" s="186">
        <f t="shared" si="7"/>
        <v>4040219.5800000005</v>
      </c>
      <c r="J78" s="186">
        <f t="shared" si="7"/>
        <v>4033029.5900000008</v>
      </c>
      <c r="K78" s="186">
        <f t="shared" si="7"/>
        <v>4079530.58</v>
      </c>
      <c r="L78" s="186">
        <f t="shared" si="7"/>
        <v>4533336.419999999</v>
      </c>
      <c r="M78" s="186">
        <f t="shared" si="7"/>
        <v>6288465.2600000016</v>
      </c>
      <c r="N78" s="186">
        <f>N75-N76</f>
        <v>9916013.5500000007</v>
      </c>
      <c r="O78" s="186">
        <f>O75-O76</f>
        <v>84781828.460000008</v>
      </c>
    </row>
    <row r="79" spans="1:18" ht="15.6" thickTop="1" x14ac:dyDescent="0.25">
      <c r="A79" s="74"/>
      <c r="B79" s="156"/>
      <c r="C79" s="187"/>
      <c r="D79" s="187"/>
      <c r="E79" s="187"/>
      <c r="F79" s="187"/>
      <c r="G79" s="188"/>
      <c r="H79" s="189"/>
      <c r="I79" s="187"/>
      <c r="J79" s="187"/>
      <c r="K79" s="187"/>
      <c r="L79" s="187"/>
      <c r="M79" s="187"/>
      <c r="N79" s="187"/>
      <c r="O79" s="69"/>
    </row>
    <row r="80" spans="1:18" x14ac:dyDescent="0.25">
      <c r="A80" s="74"/>
      <c r="B80" s="156"/>
      <c r="C80" s="187"/>
      <c r="D80" s="187"/>
      <c r="E80" s="187"/>
      <c r="F80" s="187"/>
      <c r="G80" s="188"/>
      <c r="H80" s="189"/>
      <c r="I80" s="187"/>
      <c r="J80" s="187"/>
      <c r="K80" s="187"/>
      <c r="L80" s="187"/>
      <c r="M80" s="187"/>
      <c r="N80" s="187"/>
      <c r="O80" s="69"/>
    </row>
    <row r="81" spans="1:18" ht="15.6" x14ac:dyDescent="0.3">
      <c r="A81" s="74">
        <f>A78+1</f>
        <v>12</v>
      </c>
      <c r="B81" s="156" t="s">
        <v>404</v>
      </c>
      <c r="C81" s="107"/>
      <c r="D81" s="107"/>
      <c r="E81" s="107"/>
      <c r="F81" s="107"/>
      <c r="G81" s="107"/>
      <c r="I81" s="190"/>
      <c r="J81" s="190"/>
      <c r="K81" s="190"/>
      <c r="L81" s="190"/>
      <c r="M81" s="190"/>
      <c r="N81" s="190"/>
      <c r="O81" s="166"/>
      <c r="P81" s="45"/>
      <c r="R81" s="45"/>
    </row>
    <row r="82" spans="1:18" ht="15.6" x14ac:dyDescent="0.3">
      <c r="A82" s="74"/>
      <c r="B82" s="156"/>
      <c r="C82" s="190"/>
      <c r="D82" s="180"/>
      <c r="E82" s="190"/>
      <c r="F82" s="190"/>
      <c r="G82" s="182"/>
      <c r="H82" s="182"/>
      <c r="I82" s="190"/>
      <c r="J82" s="190"/>
      <c r="K82" s="190"/>
      <c r="L82" s="190"/>
      <c r="M82" s="190"/>
      <c r="N82" s="190"/>
      <c r="O82" s="166"/>
      <c r="P82" s="45"/>
      <c r="Q82" s="45"/>
      <c r="R82" s="45"/>
    </row>
    <row r="83" spans="1:18" ht="15.6" x14ac:dyDescent="0.3">
      <c r="A83" s="74">
        <f>A81+1</f>
        <v>13</v>
      </c>
      <c r="B83" s="164" t="s">
        <v>304</v>
      </c>
      <c r="C83" s="183">
        <f>'Sch M 2.3'!E66+'Sch M 2.3'!E80+'Sch M 2.3'!E87+'Sch M 2.3'!E94+'Sch M 2.3'!E101+'Sch M 2.3'!E128+'Sch M 2.3'!E142+'Sch M 2.3'!E149</f>
        <v>1333000.0000000002</v>
      </c>
      <c r="D83" s="183">
        <f>'Sch M 2.3'!F66+'Sch M 2.3'!F80+'Sch M 2.3'!F87+'Sch M 2.3'!F94+'Sch M 2.3'!F101+'Sch M 2.3'!F128+'Sch M 2.3'!F142+'Sch M 2.3'!F149</f>
        <v>1292000.0999999999</v>
      </c>
      <c r="E83" s="183">
        <f>'Sch M 2.3'!G66+'Sch M 2.3'!G80+'Sch M 2.3'!G87+'Sch M 2.3'!G94+'Sch M 2.3'!G101+'Sch M 2.3'!G128+'Sch M 2.3'!G142+'Sch M 2.3'!G149</f>
        <v>969000</v>
      </c>
      <c r="F83" s="183">
        <f>'Sch M 2.3'!H66+'Sch M 2.3'!H80+'Sch M 2.3'!H87+'Sch M 2.3'!H94+'Sch M 2.3'!H101+'Sch M 2.3'!H128+'Sch M 2.3'!H142+'Sch M 2.3'!H149</f>
        <v>552999.9</v>
      </c>
      <c r="G83" s="183">
        <f>'Sch M 2.3'!I66+'Sch M 2.3'!I80+'Sch M 2.3'!I87+'Sch M 2.3'!I94+'Sch M 2.3'!I101+'Sch M 2.3'!I128+'Sch M 2.3'!I142+'Sch M 2.3'!I149</f>
        <v>259999.90000000002</v>
      </c>
      <c r="H83" s="183">
        <f>'Sch M 2.3'!J66+'Sch M 2.3'!J80+'Sch M 2.3'!J87+'Sch M 2.3'!J94+'Sch M 2.3'!J101+'Sch M 2.3'!J128+'Sch M 2.3'!J142+'Sch M 2.3'!J149</f>
        <v>123999.99999999999</v>
      </c>
      <c r="I83" s="183">
        <f>'Sch M 2.3'!K66+'Sch M 2.3'!K80+'Sch M 2.3'!K87+'Sch M 2.3'!K94+'Sch M 2.3'!K101+'Sch M 2.3'!K128+'Sch M 2.3'!K142+'Sch M 2.3'!K149</f>
        <v>89000.1</v>
      </c>
      <c r="J83" s="183">
        <f>'Sch M 2.3'!L66+'Sch M 2.3'!L80+'Sch M 2.3'!L87+'Sch M 2.3'!L94+'Sch M 2.3'!L101+'Sch M 2.3'!L128+'Sch M 2.3'!L142+'Sch M 2.3'!L149</f>
        <v>86000</v>
      </c>
      <c r="K83" s="183">
        <f>'Sch M 2.3'!M66+'Sch M 2.3'!M80+'Sch M 2.3'!M87+'Sch M 2.3'!M94+'Sch M 2.3'!M101+'Sch M 2.3'!M128+'Sch M 2.3'!M142+'Sch M 2.3'!M149</f>
        <v>89000.099999999991</v>
      </c>
      <c r="L83" s="183">
        <f>'Sch M 2.3'!N66+'Sch M 2.3'!N80+'Sch M 2.3'!N87+'Sch M 2.3'!N94+'Sch M 2.3'!N101+'Sch M 2.3'!N128+'Sch M 2.3'!N142+'Sch M 2.3'!N149</f>
        <v>141999.99999999997</v>
      </c>
      <c r="M83" s="183">
        <f>'Sch M 2.3'!O66+'Sch M 2.3'!O80+'Sch M 2.3'!O87+'Sch M 2.3'!O94+'Sch M 2.3'!O101+'Sch M 2.3'!O128+'Sch M 2.3'!O142+'Sch M 2.3'!O149</f>
        <v>409000.00000000006</v>
      </c>
      <c r="N83" s="183">
        <f>'Sch M 2.3'!P66+'Sch M 2.3'!P80+'Sch M 2.3'!P87+'Sch M 2.3'!P94+'Sch M 2.3'!P101+'Sch M 2.3'!P128+'Sch M 2.3'!P142+'Sch M 2.3'!P149</f>
        <v>907000</v>
      </c>
      <c r="O83" s="178">
        <f>SUM(C83:N83)</f>
        <v>6253000.0999999996</v>
      </c>
      <c r="P83" s="55"/>
      <c r="Q83" s="55"/>
      <c r="R83" s="55"/>
    </row>
    <row r="84" spans="1:18" ht="15.6" x14ac:dyDescent="0.3">
      <c r="A84" s="74">
        <f>A83+1</f>
        <v>14</v>
      </c>
      <c r="B84" s="156" t="s">
        <v>305</v>
      </c>
      <c r="C84" s="183">
        <f>'Sch M 2.3'!E73+'Sch M 2.3'!E135+'Sch M 2.3'!E156</f>
        <v>661239</v>
      </c>
      <c r="D84" s="183">
        <f>'Sch M 2.3'!F73+'Sch M 2.3'!F135+'Sch M 2.3'!F156</f>
        <v>655603.4</v>
      </c>
      <c r="E84" s="183">
        <f>'Sch M 2.3'!G73+'Sch M 2.3'!G135+'Sch M 2.3'!G156</f>
        <v>457308.9</v>
      </c>
      <c r="F84" s="183">
        <f>'Sch M 2.3'!H73+'Sch M 2.3'!H135+'Sch M 2.3'!H156</f>
        <v>277529.19999999995</v>
      </c>
      <c r="G84" s="183">
        <f>'Sch M 2.3'!I73+'Sch M 2.3'!I135+'Sch M 2.3'!I156</f>
        <v>134569.29999999999</v>
      </c>
      <c r="H84" s="183">
        <f>'Sch M 2.3'!J73+'Sch M 2.3'!J135+'Sch M 2.3'!J156</f>
        <v>80743.899999999994</v>
      </c>
      <c r="I84" s="183">
        <f>'Sch M 2.3'!K73+'Sch M 2.3'!K135+'Sch M 2.3'!K156</f>
        <v>56765.5</v>
      </c>
      <c r="J84" s="183">
        <f>'Sch M 2.3'!L73+'Sch M 2.3'!L135+'Sch M 2.3'!L156</f>
        <v>52809.2</v>
      </c>
      <c r="K84" s="183">
        <f>'Sch M 2.3'!M73+'Sch M 2.3'!M135+'Sch M 2.3'!M156</f>
        <v>51816.6</v>
      </c>
      <c r="L84" s="183">
        <f>'Sch M 2.3'!N73+'Sch M 2.3'!N135+'Sch M 2.3'!N156</f>
        <v>77181.100000000006</v>
      </c>
      <c r="M84" s="183">
        <f>'Sch M 2.3'!O73+'Sch M 2.3'!O135+'Sch M 2.3'!O156</f>
        <v>171160.69999999998</v>
      </c>
      <c r="N84" s="183">
        <f>'Sch M 2.3'!P73+'Sch M 2.3'!P135+'Sch M 2.3'!P156</f>
        <v>423897</v>
      </c>
      <c r="O84" s="178">
        <f>SUM(C84:N84)</f>
        <v>3100623.8000000003</v>
      </c>
      <c r="P84" s="45"/>
      <c r="Q84" s="45"/>
      <c r="R84" s="45"/>
    </row>
    <row r="85" spans="1:18" x14ac:dyDescent="0.25">
      <c r="A85" s="74">
        <f>A84+1</f>
        <v>15</v>
      </c>
      <c r="B85" s="156" t="s">
        <v>306</v>
      </c>
      <c r="C85" s="183">
        <f>'Sch M 2.3'!E183+'Sch M 2.3'!E190</f>
        <v>33000.199999999997</v>
      </c>
      <c r="D85" s="183">
        <f>'Sch M 2.3'!F183+'Sch M 2.3'!F190</f>
        <v>31999.9</v>
      </c>
      <c r="E85" s="183">
        <f>'Sch M 2.3'!G183+'Sch M 2.3'!G190</f>
        <v>30900</v>
      </c>
      <c r="F85" s="183">
        <f>'Sch M 2.3'!H183+'Sch M 2.3'!H190</f>
        <v>29799.9</v>
      </c>
      <c r="G85" s="183">
        <f>'Sch M 2.3'!I183+'Sch M 2.3'!I190</f>
        <v>28800.3</v>
      </c>
      <c r="H85" s="183">
        <f>'Sch M 2.3'!J183+'Sch M 2.3'!J190</f>
        <v>27749.9</v>
      </c>
      <c r="I85" s="183">
        <f>'Sch M 2.3'!K183+'Sch M 2.3'!K190</f>
        <v>27749.9</v>
      </c>
      <c r="J85" s="183">
        <f>'Sch M 2.3'!L183+'Sch M 2.3'!L190</f>
        <v>28750.199999999997</v>
      </c>
      <c r="K85" s="183">
        <f>'Sch M 2.3'!M183+'Sch M 2.3'!M190</f>
        <v>28750.199999999997</v>
      </c>
      <c r="L85" s="183">
        <f>'Sch M 2.3'!N183+'Sch M 2.3'!N190</f>
        <v>30849.9</v>
      </c>
      <c r="M85" s="183">
        <f>'Sch M 2.3'!O183+'Sch M 2.3'!O190</f>
        <v>30900</v>
      </c>
      <c r="N85" s="183">
        <f>'Sch M 2.3'!P183+'Sch M 2.3'!P190</f>
        <v>31000.1</v>
      </c>
      <c r="O85" s="178">
        <f>SUM(C85:N85)</f>
        <v>360250.5</v>
      </c>
      <c r="P85" s="88"/>
    </row>
    <row r="86" spans="1:18" ht="15.6" x14ac:dyDescent="0.3">
      <c r="A86" s="74">
        <f>A85+1</f>
        <v>16</v>
      </c>
      <c r="B86" s="156" t="s">
        <v>307</v>
      </c>
      <c r="C86" s="191">
        <f>'Sch M 2.3'!E197</f>
        <v>3136.7</v>
      </c>
      <c r="D86" s="191">
        <f>'Sch M 2.3'!F197</f>
        <v>2307.1999999999998</v>
      </c>
      <c r="E86" s="191">
        <f>'Sch M 2.3'!G197</f>
        <v>1098.5999999999999</v>
      </c>
      <c r="F86" s="191">
        <f>'Sch M 2.3'!H197</f>
        <v>641.70000000000005</v>
      </c>
      <c r="G86" s="191">
        <f>'Sch M 2.3'!I197</f>
        <v>362.9</v>
      </c>
      <c r="H86" s="191">
        <f>'Sch M 2.3'!J197</f>
        <v>221.4</v>
      </c>
      <c r="I86" s="191">
        <f>'Sch M 2.3'!K197</f>
        <v>245</v>
      </c>
      <c r="J86" s="191">
        <f>'Sch M 2.3'!L197</f>
        <v>196.3</v>
      </c>
      <c r="K86" s="191">
        <f>'Sch M 2.3'!M197</f>
        <v>196.6</v>
      </c>
      <c r="L86" s="191">
        <f>'Sch M 2.3'!N197</f>
        <v>705.2</v>
      </c>
      <c r="M86" s="191">
        <f>'Sch M 2.3'!O197</f>
        <v>1014.3</v>
      </c>
      <c r="N86" s="191">
        <f>'Sch M 2.3'!P197</f>
        <v>1194.8</v>
      </c>
      <c r="O86" s="191">
        <f>SUM(C86:N86)</f>
        <v>11320.699999999999</v>
      </c>
      <c r="P86" s="115"/>
      <c r="Q86" s="115"/>
    </row>
    <row r="87" spans="1:18" x14ac:dyDescent="0.25">
      <c r="A87" s="74">
        <f>A86+1</f>
        <v>17</v>
      </c>
      <c r="B87" s="156" t="s">
        <v>308</v>
      </c>
      <c r="C87" s="183">
        <f t="shared" ref="C87:M87" si="8">SUM(C83:C86)</f>
        <v>2030375.9000000001</v>
      </c>
      <c r="D87" s="183">
        <f t="shared" si="8"/>
        <v>1981910.5999999999</v>
      </c>
      <c r="E87" s="183">
        <f t="shared" si="8"/>
        <v>1458307.5</v>
      </c>
      <c r="F87" s="183">
        <f t="shared" si="8"/>
        <v>860970.7</v>
      </c>
      <c r="G87" s="183">
        <f t="shared" si="8"/>
        <v>423732.4</v>
      </c>
      <c r="H87" s="183">
        <f t="shared" si="8"/>
        <v>232715.19999999995</v>
      </c>
      <c r="I87" s="183">
        <f t="shared" si="8"/>
        <v>173760.5</v>
      </c>
      <c r="J87" s="183">
        <f t="shared" si="8"/>
        <v>167755.70000000001</v>
      </c>
      <c r="K87" s="183">
        <f t="shared" si="8"/>
        <v>169763.49999999997</v>
      </c>
      <c r="L87" s="183">
        <f t="shared" si="8"/>
        <v>250736.19999999998</v>
      </c>
      <c r="M87" s="183">
        <f t="shared" si="8"/>
        <v>612075.00000000012</v>
      </c>
      <c r="N87" s="183">
        <f>SUM(N83:N86)</f>
        <v>1363091.9000000001</v>
      </c>
      <c r="O87" s="183">
        <f>SUM(O83:O86)</f>
        <v>9725195.0999999996</v>
      </c>
    </row>
    <row r="88" spans="1:18" x14ac:dyDescent="0.25">
      <c r="A88" s="74"/>
      <c r="B88" s="156"/>
      <c r="C88" s="180"/>
      <c r="D88" s="180"/>
      <c r="E88" s="180"/>
      <c r="F88" s="180"/>
      <c r="G88" s="182"/>
    </row>
    <row r="89" spans="1:18" x14ac:dyDescent="0.25">
      <c r="A89" s="74">
        <f>A87+1</f>
        <v>18</v>
      </c>
      <c r="B89" s="156" t="s">
        <v>309</v>
      </c>
      <c r="C89" s="183">
        <f>'Sch M 2.3'!E224+'Sch M 2.3'!E231+'Sch M 2.3'!E238+'Sch M 2.3'!E245+'Sch M 2.3'!E252+'Sch M 2.3'!E259+'Sch M 2.3'!E287+'Sch M 2.3'!E294+'Sch M 2.3'!E301+'Sch M 2.3'!E308+'Sch M 2.3'!E315+'Sch M 2.3'!E322+'Sch M 2.3'!E349+'Sch M 2.3'!E356</f>
        <v>2396858.5999999996</v>
      </c>
      <c r="D89" s="183">
        <f>'Sch M 2.3'!F224+'Sch M 2.3'!F231+'Sch M 2.3'!F238+'Sch M 2.3'!F245+'Sch M 2.3'!F252+'Sch M 2.3'!F259+'Sch M 2.3'!F287+'Sch M 2.3'!F294+'Sch M 2.3'!F301+'Sch M 2.3'!F308+'Sch M 2.3'!F315+'Sch M 2.3'!F322+'Sch M 2.3'!F349+'Sch M 2.3'!F356</f>
        <v>2208207.2000000002</v>
      </c>
      <c r="E89" s="183">
        <f>'Sch M 2.3'!G224+'Sch M 2.3'!G231+'Sch M 2.3'!G238+'Sch M 2.3'!G245+'Sch M 2.3'!G252+'Sch M 2.3'!G259+'Sch M 2.3'!G287+'Sch M 2.3'!G294+'Sch M 2.3'!G301+'Sch M 2.3'!G308+'Sch M 2.3'!G315+'Sch M 2.3'!G322+'Sch M 2.3'!G349+'Sch M 2.3'!G356</f>
        <v>1948285.2</v>
      </c>
      <c r="F89" s="183">
        <f>'Sch M 2.3'!H224+'Sch M 2.3'!H231+'Sch M 2.3'!H238+'Sch M 2.3'!H245+'Sch M 2.3'!H252+'Sch M 2.3'!H259+'Sch M 2.3'!H287+'Sch M 2.3'!H294+'Sch M 2.3'!H301+'Sch M 2.3'!H308+'Sch M 2.3'!H315+'Sch M 2.3'!H322+'Sch M 2.3'!H349+'Sch M 2.3'!H356</f>
        <v>1552287.7000000002</v>
      </c>
      <c r="G89" s="183">
        <f>'Sch M 2.3'!I224+'Sch M 2.3'!I231+'Sch M 2.3'!I238+'Sch M 2.3'!I245+'Sch M 2.3'!I252+'Sch M 2.3'!I259+'Sch M 2.3'!I287+'Sch M 2.3'!I294+'Sch M 2.3'!I301+'Sch M 2.3'!I308+'Sch M 2.3'!I315+'Sch M 2.3'!I322+'Sch M 2.3'!I349+'Sch M 2.3'!I356</f>
        <v>1312282.7000000002</v>
      </c>
      <c r="H89" s="183">
        <f>'Sch M 2.3'!J224+'Sch M 2.3'!J231+'Sch M 2.3'!J238+'Sch M 2.3'!J245+'Sch M 2.3'!J252+'Sch M 2.3'!J259+'Sch M 2.3'!J287+'Sch M 2.3'!J294+'Sch M 2.3'!J301+'Sch M 2.3'!J308+'Sch M 2.3'!J315+'Sch M 2.3'!J322+'Sch M 2.3'!J349+'Sch M 2.3'!J356</f>
        <v>1181283.7999999998</v>
      </c>
      <c r="I89" s="183">
        <f>'Sch M 2.3'!K224+'Sch M 2.3'!K231+'Sch M 2.3'!K238+'Sch M 2.3'!K245+'Sch M 2.3'!K252+'Sch M 2.3'!K259+'Sch M 2.3'!K287+'Sch M 2.3'!K294+'Sch M 2.3'!K301+'Sch M 2.3'!K308+'Sch M 2.3'!K315+'Sch M 2.3'!K322+'Sch M 2.3'!K349+'Sch M 2.3'!K356</f>
        <v>1128283</v>
      </c>
      <c r="J89" s="183">
        <f>'Sch M 2.3'!L224+'Sch M 2.3'!L231+'Sch M 2.3'!L238+'Sch M 2.3'!L245+'Sch M 2.3'!L252+'Sch M 2.3'!L259+'Sch M 2.3'!L287+'Sch M 2.3'!L294+'Sch M 2.3'!L301+'Sch M 2.3'!L308+'Sch M 2.3'!L315+'Sch M 2.3'!L322+'Sch M 2.3'!L349+'Sch M 2.3'!L356</f>
        <v>1170285.1000000001</v>
      </c>
      <c r="K89" s="183">
        <f>'Sch M 2.3'!M224+'Sch M 2.3'!M231+'Sch M 2.3'!M238+'Sch M 2.3'!M245+'Sch M 2.3'!M252+'Sch M 2.3'!M259+'Sch M 2.3'!M287+'Sch M 2.3'!M294+'Sch M 2.3'!M301+'Sch M 2.3'!M308+'Sch M 2.3'!M315+'Sch M 2.3'!M322+'Sch M 2.3'!M349+'Sch M 2.3'!M356</f>
        <v>1236612</v>
      </c>
      <c r="L89" s="183">
        <f>'Sch M 2.3'!N224+'Sch M 2.3'!N231+'Sch M 2.3'!N238+'Sch M 2.3'!N245+'Sch M 2.3'!N252+'Sch M 2.3'!N259+'Sch M 2.3'!N287+'Sch M 2.3'!N294+'Sch M 2.3'!N301+'Sch M 2.3'!N308+'Sch M 2.3'!N315+'Sch M 2.3'!N322+'Sch M 2.3'!N349+'Sch M 2.3'!N356</f>
        <v>1451608.7999999998</v>
      </c>
      <c r="M89" s="183">
        <f>'Sch M 2.3'!O224+'Sch M 2.3'!O231+'Sch M 2.3'!O238+'Sch M 2.3'!O245+'Sch M 2.3'!O252+'Sch M 2.3'!O259+'Sch M 2.3'!O287+'Sch M 2.3'!O294+'Sch M 2.3'!O301+'Sch M 2.3'!O308+'Sch M 2.3'!O315+'Sch M 2.3'!O322+'Sch M 2.3'!O349+'Sch M 2.3'!O356</f>
        <v>1722488.7</v>
      </c>
      <c r="N89" s="183">
        <f>'Sch M 2.3'!P224+'Sch M 2.3'!P231+'Sch M 2.3'!P238+'Sch M 2.3'!P245+'Sch M 2.3'!P252+'Sch M 2.3'!P259+'Sch M 2.3'!P287+'Sch M 2.3'!P294+'Sch M 2.3'!P301+'Sch M 2.3'!P308+'Sch M 2.3'!P315+'Sch M 2.3'!P322+'Sch M 2.3'!P349+'Sch M 2.3'!P356</f>
        <v>2032764.7000000002</v>
      </c>
      <c r="O89" s="178">
        <f>SUM(C89:N89)</f>
        <v>19341247.499999996</v>
      </c>
    </row>
    <row r="90" spans="1:18" ht="15.6" x14ac:dyDescent="0.3">
      <c r="A90" s="74"/>
      <c r="B90" s="62"/>
      <c r="C90" s="180"/>
      <c r="D90" s="180"/>
      <c r="E90" s="180"/>
      <c r="F90" s="180"/>
      <c r="G90" s="190"/>
      <c r="H90" s="190"/>
      <c r="I90" s="190"/>
      <c r="J90" s="190"/>
      <c r="K90" s="190"/>
      <c r="L90" s="190"/>
      <c r="M90" s="190"/>
      <c r="N90" s="190"/>
      <c r="O90" s="190"/>
    </row>
    <row r="91" spans="1:18" ht="15.6" thickBot="1" x14ac:dyDescent="0.3">
      <c r="A91" s="74">
        <f>A89+1</f>
        <v>19</v>
      </c>
      <c r="B91" s="62" t="s">
        <v>313</v>
      </c>
      <c r="C91" s="192">
        <f t="shared" ref="C91:M91" si="9">C87+C89</f>
        <v>4427234.5</v>
      </c>
      <c r="D91" s="192">
        <f t="shared" si="9"/>
        <v>4190117.8</v>
      </c>
      <c r="E91" s="192">
        <f t="shared" si="9"/>
        <v>3406592.7</v>
      </c>
      <c r="F91" s="192">
        <f t="shared" si="9"/>
        <v>2413258.4000000004</v>
      </c>
      <c r="G91" s="192">
        <f t="shared" si="9"/>
        <v>1736015.1</v>
      </c>
      <c r="H91" s="192">
        <f t="shared" si="9"/>
        <v>1413998.9999999998</v>
      </c>
      <c r="I91" s="192">
        <f t="shared" si="9"/>
        <v>1302043.5</v>
      </c>
      <c r="J91" s="192">
        <f t="shared" si="9"/>
        <v>1338040.8</v>
      </c>
      <c r="K91" s="192">
        <f t="shared" si="9"/>
        <v>1406375.5</v>
      </c>
      <c r="L91" s="192">
        <f t="shared" si="9"/>
        <v>1702344.9999999998</v>
      </c>
      <c r="M91" s="192">
        <f t="shared" si="9"/>
        <v>2334563.7000000002</v>
      </c>
      <c r="N91" s="192">
        <f>N87+N89</f>
        <v>3395856.6000000006</v>
      </c>
      <c r="O91" s="192">
        <f>SUM(C91:N91)</f>
        <v>29066442.600000001</v>
      </c>
      <c r="P91" s="80"/>
      <c r="Q91" s="85"/>
      <c r="R91" s="80"/>
    </row>
    <row r="92" spans="1:18" ht="16.2" thickTop="1" x14ac:dyDescent="0.3">
      <c r="A92" s="74"/>
      <c r="C92" s="193"/>
      <c r="D92" s="180"/>
      <c r="E92" s="194"/>
      <c r="F92" s="194"/>
      <c r="G92" s="190"/>
      <c r="H92" s="183"/>
      <c r="I92" s="194"/>
      <c r="J92" s="194"/>
      <c r="K92" s="194"/>
      <c r="L92" s="194"/>
      <c r="M92" s="194"/>
      <c r="N92" s="194"/>
      <c r="O92" s="195"/>
      <c r="P92" s="93"/>
      <c r="Q92" s="117"/>
      <c r="R92" s="93"/>
    </row>
    <row r="93" spans="1:18" x14ac:dyDescent="0.25">
      <c r="A93" s="74"/>
      <c r="C93" s="196"/>
      <c r="D93" s="196"/>
      <c r="E93" s="196"/>
      <c r="F93" s="196"/>
      <c r="G93" s="180"/>
      <c r="I93" s="196"/>
      <c r="J93" s="196"/>
      <c r="K93" s="196"/>
      <c r="L93" s="196"/>
      <c r="M93" s="196"/>
      <c r="N93" s="196"/>
      <c r="O93" s="95"/>
      <c r="P93" s="80"/>
      <c r="Q93" s="85"/>
      <c r="R93" s="80"/>
    </row>
    <row r="94" spans="1:18" x14ac:dyDescent="0.25">
      <c r="A94" s="74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95"/>
      <c r="P94" s="80"/>
      <c r="Q94" s="85"/>
      <c r="R94" s="80"/>
    </row>
    <row r="95" spans="1:18" x14ac:dyDescent="0.25">
      <c r="A95" s="74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95"/>
      <c r="P95" s="80"/>
      <c r="Q95" s="85"/>
      <c r="R95" s="80"/>
    </row>
    <row r="96" spans="1:18" x14ac:dyDescent="0.25">
      <c r="A96" s="74"/>
      <c r="B96" s="156"/>
      <c r="C96" s="197"/>
      <c r="D96" s="59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80"/>
      <c r="Q96" s="93"/>
      <c r="R96" s="80"/>
    </row>
    <row r="97" spans="1:18" x14ac:dyDescent="0.25">
      <c r="A97" s="74"/>
      <c r="C97" s="197"/>
      <c r="D97" s="59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80"/>
      <c r="Q97" s="80"/>
      <c r="R97" s="80"/>
    </row>
    <row r="98" spans="1:18" x14ac:dyDescent="0.25">
      <c r="A98" s="74"/>
      <c r="B98" s="156"/>
      <c r="C98" s="197"/>
      <c r="D98" s="59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80"/>
      <c r="Q98" s="80"/>
      <c r="R98" s="80"/>
    </row>
    <row r="99" spans="1:18" x14ac:dyDescent="0.25">
      <c r="A99" s="74"/>
      <c r="C99" s="62"/>
      <c r="D99" s="59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Q99" s="80"/>
      <c r="R99" s="80"/>
    </row>
    <row r="100" spans="1:18" x14ac:dyDescent="0.25">
      <c r="A100" s="62"/>
      <c r="C100" s="62"/>
      <c r="D100" s="59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Q100" s="80"/>
      <c r="R100" s="80"/>
    </row>
    <row r="101" spans="1:18" x14ac:dyDescent="0.25">
      <c r="A101" s="62"/>
      <c r="B101" s="156"/>
      <c r="C101" s="62"/>
      <c r="D101" s="59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R101" s="114"/>
    </row>
    <row r="102" spans="1:18" x14ac:dyDescent="0.25">
      <c r="A102" s="62"/>
      <c r="C102" s="62"/>
      <c r="D102" s="59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R102" s="155"/>
    </row>
    <row r="103" spans="1:18" x14ac:dyDescent="0.25">
      <c r="A103" s="62"/>
      <c r="C103" s="62"/>
      <c r="D103" s="59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Q103" s="80"/>
      <c r="R103" s="80"/>
    </row>
    <row r="104" spans="1:18" x14ac:dyDescent="0.25">
      <c r="A104" s="62"/>
      <c r="C104" s="62"/>
      <c r="D104" s="59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Q104" s="80"/>
      <c r="R104" s="80"/>
    </row>
  </sheetData>
  <mergeCells count="12">
    <mergeCell ref="A59:O59"/>
    <mergeCell ref="A1:O1"/>
    <mergeCell ref="A2:O2"/>
    <mergeCell ref="A3:O3"/>
    <mergeCell ref="A4:O4"/>
    <mergeCell ref="A5:O5"/>
    <mergeCell ref="A11:O11"/>
    <mergeCell ref="A49:O49"/>
    <mergeCell ref="A50:O50"/>
    <mergeCell ref="A51:O51"/>
    <mergeCell ref="A52:O52"/>
    <mergeCell ref="A53:O53"/>
  </mergeCells>
  <printOptions horizontalCentered="1"/>
  <pageMargins left="1" right="1" top="1" bottom="1" header="0.5" footer="0.5"/>
  <pageSetup scale="35" orientation="landscape" r:id="rId1"/>
  <headerFooter alignWithMargins="0">
    <oddHeader>&amp;RKY PSC Case No. 2016-0016
Attachment A to PSC 3-3(b)</oddHeader>
  </headerFooter>
  <rowBreaks count="1" manualBreakCount="1">
    <brk id="48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>
    <pageSetUpPr fitToPage="1"/>
  </sheetPr>
  <dimension ref="A1:M64"/>
  <sheetViews>
    <sheetView topLeftCell="A40" zoomScaleNormal="100" zoomScaleSheetLayoutView="70" workbookViewId="0">
      <selection activeCell="E55" sqref="E55"/>
    </sheetView>
  </sheetViews>
  <sheetFormatPr defaultColWidth="10" defaultRowHeight="10.199999999999999" x14ac:dyDescent="0.2"/>
  <cols>
    <col min="1" max="1" width="5.1640625" style="219" customWidth="1"/>
    <col min="2" max="2" width="50.33203125" style="219" bestFit="1" customWidth="1"/>
    <col min="3" max="3" width="11.33203125" style="219" bestFit="1" customWidth="1"/>
    <col min="4" max="4" width="15" style="219" bestFit="1" customWidth="1"/>
    <col min="5" max="5" width="13.83203125" style="219" bestFit="1" customWidth="1"/>
    <col min="6" max="6" width="14.6640625" style="219" bestFit="1" customWidth="1"/>
    <col min="7" max="7" width="16.83203125" style="219" bestFit="1" customWidth="1"/>
    <col min="8" max="8" width="15" style="219" bestFit="1" customWidth="1"/>
    <col min="9" max="9" width="13.83203125" style="219" bestFit="1" customWidth="1"/>
    <col min="10" max="10" width="12.33203125" style="219" customWidth="1"/>
    <col min="11" max="11" width="16" style="219" customWidth="1"/>
    <col min="12" max="12" width="10" style="219" customWidth="1"/>
    <col min="13" max="13" width="15.6640625" style="219" customWidth="1"/>
    <col min="14" max="16384" width="10" style="219"/>
  </cols>
  <sheetData>
    <row r="1" spans="1:11" x14ac:dyDescent="0.2">
      <c r="A1" s="981" t="str">
        <f>CONAME</f>
        <v>Columbia Gas of Kentucky, Inc.</v>
      </c>
      <c r="B1" s="981"/>
      <c r="C1" s="981"/>
      <c r="D1" s="981"/>
      <c r="E1" s="981"/>
      <c r="F1" s="981"/>
      <c r="G1" s="981"/>
      <c r="H1" s="981"/>
      <c r="I1" s="981"/>
      <c r="J1" s="981"/>
    </row>
    <row r="2" spans="1:11" x14ac:dyDescent="0.2">
      <c r="A2" s="981" t="str">
        <f>case</f>
        <v>Case No. 2016-00162</v>
      </c>
      <c r="B2" s="981"/>
      <c r="C2" s="981"/>
      <c r="D2" s="981"/>
      <c r="E2" s="981"/>
      <c r="F2" s="981"/>
      <c r="G2" s="981"/>
      <c r="H2" s="981"/>
      <c r="I2" s="981"/>
      <c r="J2" s="981"/>
    </row>
    <row r="3" spans="1:11" x14ac:dyDescent="0.2">
      <c r="A3" s="981" t="s">
        <v>201</v>
      </c>
      <c r="B3" s="981"/>
      <c r="C3" s="981"/>
      <c r="D3" s="981"/>
      <c r="E3" s="981"/>
      <c r="F3" s="981"/>
      <c r="G3" s="981"/>
      <c r="H3" s="981"/>
      <c r="I3" s="981"/>
      <c r="J3" s="981"/>
    </row>
    <row r="4" spans="1:11" x14ac:dyDescent="0.2">
      <c r="A4" s="981" t="str">
        <f>TYDESC</f>
        <v>For the 12 Months Ended December 31, 2017</v>
      </c>
      <c r="B4" s="981"/>
      <c r="C4" s="981"/>
      <c r="D4" s="981"/>
      <c r="E4" s="981"/>
      <c r="F4" s="981"/>
      <c r="G4" s="981"/>
      <c r="H4" s="981"/>
      <c r="I4" s="981"/>
      <c r="J4" s="981"/>
    </row>
    <row r="5" spans="1:11" x14ac:dyDescent="0.2">
      <c r="A5" s="991" t="s">
        <v>39</v>
      </c>
      <c r="B5" s="991"/>
      <c r="C5" s="991"/>
      <c r="D5" s="991"/>
      <c r="E5" s="991"/>
      <c r="F5" s="991"/>
      <c r="G5" s="991"/>
      <c r="H5" s="991"/>
      <c r="I5" s="991"/>
      <c r="J5" s="991"/>
    </row>
    <row r="6" spans="1:11" x14ac:dyDescent="0.2">
      <c r="A6" s="790"/>
      <c r="B6" s="790"/>
      <c r="C6" s="790"/>
      <c r="D6" s="790"/>
      <c r="E6" s="790"/>
      <c r="F6" s="790"/>
      <c r="G6" s="790"/>
      <c r="H6" s="790"/>
      <c r="I6" s="790"/>
      <c r="J6" s="790"/>
    </row>
    <row r="7" spans="1:11" x14ac:dyDescent="0.2">
      <c r="A7" s="223" t="s">
        <v>561</v>
      </c>
    </row>
    <row r="8" spans="1:11" x14ac:dyDescent="0.2">
      <c r="A8" s="223" t="s">
        <v>528</v>
      </c>
      <c r="J8" s="413" t="s">
        <v>316</v>
      </c>
    </row>
    <row r="9" spans="1:11" x14ac:dyDescent="0.2">
      <c r="A9" s="494" t="s">
        <v>63</v>
      </c>
      <c r="J9" s="413" t="s">
        <v>391</v>
      </c>
    </row>
    <row r="10" spans="1:11" x14ac:dyDescent="0.2">
      <c r="A10" s="761" t="s">
        <v>302</v>
      </c>
      <c r="B10" s="762"/>
      <c r="C10" s="762"/>
      <c r="D10" s="762"/>
      <c r="E10" s="762"/>
      <c r="F10" s="762"/>
      <c r="G10" s="762"/>
      <c r="H10" s="763"/>
      <c r="I10" s="762"/>
      <c r="J10" s="764" t="str">
        <f>Witness</f>
        <v>Witness:  M. J. Bell</v>
      </c>
      <c r="K10" s="301"/>
    </row>
    <row r="11" spans="1:11" x14ac:dyDescent="0.2">
      <c r="A11" s="231"/>
      <c r="B11" s="747"/>
      <c r="C11" s="747"/>
      <c r="D11" s="747"/>
      <c r="E11" s="747" t="s">
        <v>67</v>
      </c>
      <c r="F11" s="747" t="s">
        <v>392</v>
      </c>
      <c r="G11" s="747"/>
      <c r="H11" s="747" t="s">
        <v>67</v>
      </c>
      <c r="I11" s="747"/>
      <c r="J11" s="748" t="s">
        <v>70</v>
      </c>
    </row>
    <row r="12" spans="1:11" x14ac:dyDescent="0.2">
      <c r="A12" s="747" t="s">
        <v>1</v>
      </c>
      <c r="B12" s="747" t="s">
        <v>0</v>
      </c>
      <c r="C12" s="746" t="s">
        <v>44</v>
      </c>
      <c r="D12" s="747"/>
      <c r="E12" s="747" t="s">
        <v>68</v>
      </c>
      <c r="F12" s="747" t="s">
        <v>396</v>
      </c>
      <c r="G12" s="747" t="s">
        <v>20</v>
      </c>
      <c r="H12" s="747" t="s">
        <v>30</v>
      </c>
      <c r="I12" s="747" t="s">
        <v>20</v>
      </c>
      <c r="J12" s="747" t="s">
        <v>20</v>
      </c>
    </row>
    <row r="13" spans="1:11" x14ac:dyDescent="0.2">
      <c r="A13" s="226" t="s">
        <v>3</v>
      </c>
      <c r="B13" s="226" t="s">
        <v>66</v>
      </c>
      <c r="C13" s="281" t="s">
        <v>292</v>
      </c>
      <c r="D13" s="281" t="s">
        <v>26</v>
      </c>
      <c r="E13" s="226" t="s">
        <v>48</v>
      </c>
      <c r="F13" s="226" t="s">
        <v>393</v>
      </c>
      <c r="G13" s="226" t="s">
        <v>5</v>
      </c>
      <c r="H13" s="226" t="s">
        <v>48</v>
      </c>
      <c r="I13" s="226" t="s">
        <v>69</v>
      </c>
      <c r="J13" s="226" t="s">
        <v>69</v>
      </c>
    </row>
    <row r="14" spans="1:11" x14ac:dyDescent="0.2">
      <c r="A14" s="747"/>
      <c r="B14" s="748" t="s">
        <v>42</v>
      </c>
      <c r="C14" s="748" t="s">
        <v>43</v>
      </c>
      <c r="D14" s="748" t="s">
        <v>45</v>
      </c>
      <c r="E14" s="748" t="s">
        <v>46</v>
      </c>
      <c r="F14" s="748" t="s">
        <v>49</v>
      </c>
      <c r="G14" s="748" t="s">
        <v>50</v>
      </c>
      <c r="H14" s="748" t="s">
        <v>51</v>
      </c>
      <c r="I14" s="748" t="s">
        <v>397</v>
      </c>
      <c r="J14" s="748" t="s">
        <v>398</v>
      </c>
    </row>
    <row r="15" spans="1:11" x14ac:dyDescent="0.2">
      <c r="E15" s="748" t="s">
        <v>60</v>
      </c>
      <c r="F15" s="748" t="s">
        <v>60</v>
      </c>
      <c r="G15" s="748" t="s">
        <v>60</v>
      </c>
      <c r="H15" s="748" t="s">
        <v>60</v>
      </c>
      <c r="I15" s="748" t="s">
        <v>60</v>
      </c>
      <c r="J15" s="748" t="s">
        <v>61</v>
      </c>
    </row>
    <row r="17" spans="1:13" x14ac:dyDescent="0.2">
      <c r="A17" s="219">
        <v>1</v>
      </c>
      <c r="B17" s="438" t="s">
        <v>94</v>
      </c>
      <c r="C17" s="438"/>
      <c r="D17" s="438"/>
      <c r="H17" s="222"/>
      <c r="I17" s="222"/>
    </row>
    <row r="18" spans="1:13" x14ac:dyDescent="0.2">
      <c r="H18" s="222"/>
      <c r="I18" s="222"/>
    </row>
    <row r="19" spans="1:13" x14ac:dyDescent="0.2">
      <c r="A19" s="219">
        <f>A17+1</f>
        <v>2</v>
      </c>
      <c r="B19" s="219" t="str">
        <f>Input!B19</f>
        <v>General Service - Residential</v>
      </c>
      <c r="C19" s="240">
        <f>'Sch M 2.2'!Q66</f>
        <v>1180666</v>
      </c>
      <c r="D19" s="477">
        <f>'Sch M 2.2'!Q67</f>
        <v>6248080.5000000009</v>
      </c>
      <c r="E19" s="427">
        <f>'Sch M 2.2'!Q70</f>
        <v>49618661.620000005</v>
      </c>
      <c r="F19" s="795">
        <f>ROUND('C'!P17*(Input!$AA$19-Input!$N$19),2)</f>
        <v>62480.81</v>
      </c>
      <c r="G19" s="236">
        <f>E19+F19</f>
        <v>49681142.430000007</v>
      </c>
      <c r="H19" s="470">
        <f>'Sch M 2.3'!Q69</f>
        <v>56490889.469999999</v>
      </c>
      <c r="I19" s="470">
        <f t="shared" ref="I19:I32" si="0">H19-G19</f>
        <v>6809747.0399999917</v>
      </c>
      <c r="J19" s="290">
        <f t="shared" ref="J19:J32" si="1">IF(E19=0,0,ROUND(I19/E19,4)*100)</f>
        <v>13.719999999999999</v>
      </c>
    </row>
    <row r="20" spans="1:13" x14ac:dyDescent="0.2">
      <c r="A20" s="219">
        <f t="shared" ref="A20:A44" si="2">A19+1</f>
        <v>3</v>
      </c>
      <c r="B20" s="219" t="str">
        <f>Input!B20</f>
        <v>LG&amp;E Commercial</v>
      </c>
      <c r="C20" s="240">
        <f>'Sch M 2.2'!Q73</f>
        <v>41</v>
      </c>
      <c r="D20" s="477">
        <f>'Sch M 2.2'!Q74</f>
        <v>1697.8</v>
      </c>
      <c r="E20" s="240">
        <f>'Sch M 2.2'!Q77</f>
        <v>9744.43</v>
      </c>
      <c r="F20" s="765">
        <v>0</v>
      </c>
      <c r="G20" s="236">
        <f t="shared" ref="G20:G32" si="3">E20+F20</f>
        <v>9744.43</v>
      </c>
      <c r="H20" s="286">
        <f>'Sch M 2.3'!Q76</f>
        <v>9744.43</v>
      </c>
      <c r="I20" s="470">
        <f t="shared" si="0"/>
        <v>0</v>
      </c>
      <c r="J20" s="290">
        <f t="shared" si="1"/>
        <v>0</v>
      </c>
    </row>
    <row r="21" spans="1:13" x14ac:dyDescent="0.2">
      <c r="A21" s="219">
        <f t="shared" si="2"/>
        <v>4</v>
      </c>
      <c r="B21" s="219" t="str">
        <f>Input!B21</f>
        <v>LG&amp;E Residential</v>
      </c>
      <c r="C21" s="240">
        <f>'Sch M 2.2'!Q80</f>
        <v>192</v>
      </c>
      <c r="D21" s="477">
        <f>'Sch M 2.2'!Q81</f>
        <v>2018.8999999999999</v>
      </c>
      <c r="E21" s="240">
        <f>'Sch M 2.2'!Q84</f>
        <v>13751.73</v>
      </c>
      <c r="F21" s="765">
        <v>0</v>
      </c>
      <c r="G21" s="236">
        <f t="shared" si="3"/>
        <v>13751.73</v>
      </c>
      <c r="H21" s="286">
        <f>'Sch M 2.3'!Q83</f>
        <v>13751.73</v>
      </c>
      <c r="I21" s="470">
        <f t="shared" si="0"/>
        <v>0</v>
      </c>
      <c r="J21" s="290">
        <f t="shared" si="1"/>
        <v>0</v>
      </c>
      <c r="M21" s="766"/>
    </row>
    <row r="22" spans="1:13" x14ac:dyDescent="0.2">
      <c r="A22" s="219">
        <f t="shared" si="2"/>
        <v>5</v>
      </c>
      <c r="B22" s="219" t="str">
        <f>Input!B22</f>
        <v>Inland Gas General Service - Residential</v>
      </c>
      <c r="C22" s="240">
        <f>'Sch M 2.2'!Q87</f>
        <v>108</v>
      </c>
      <c r="D22" s="477">
        <f>'Sch M 2.2'!Q88</f>
        <v>990.2</v>
      </c>
      <c r="E22" s="240">
        <f>'Sch M 2.2'!Q91</f>
        <v>396.08</v>
      </c>
      <c r="F22" s="765">
        <v>0</v>
      </c>
      <c r="G22" s="236">
        <f t="shared" si="3"/>
        <v>396.08</v>
      </c>
      <c r="H22" s="286">
        <f>'Sch M 2.3'!Q90</f>
        <v>396.08</v>
      </c>
      <c r="I22" s="470">
        <f t="shared" si="0"/>
        <v>0</v>
      </c>
      <c r="J22" s="290">
        <f t="shared" si="1"/>
        <v>0</v>
      </c>
      <c r="M22" s="766"/>
    </row>
    <row r="23" spans="1:13" x14ac:dyDescent="0.2">
      <c r="A23" s="219">
        <f t="shared" si="2"/>
        <v>6</v>
      </c>
      <c r="B23" s="219" t="str">
        <f>Input!B24</f>
        <v>Inland Gas General Service - Residential</v>
      </c>
      <c r="C23" s="240">
        <f>'Sch M 2.2'!Q94</f>
        <v>0</v>
      </c>
      <c r="D23" s="477">
        <f>'Sch M 2.2'!Q95</f>
        <v>0</v>
      </c>
      <c r="E23" s="240">
        <f>'Sch M 2.2'!Q98</f>
        <v>0</v>
      </c>
      <c r="F23" s="765">
        <v>0</v>
      </c>
      <c r="G23" s="236">
        <f t="shared" si="3"/>
        <v>0</v>
      </c>
      <c r="H23" s="286">
        <f>'Sch M 2.3'!Q97</f>
        <v>0</v>
      </c>
      <c r="I23" s="470">
        <f t="shared" si="0"/>
        <v>0</v>
      </c>
      <c r="J23" s="290">
        <f t="shared" si="1"/>
        <v>0</v>
      </c>
    </row>
    <row r="24" spans="1:13" x14ac:dyDescent="0.2">
      <c r="A24" s="219">
        <f t="shared" si="2"/>
        <v>7</v>
      </c>
      <c r="B24" s="219" t="str">
        <f>Input!B25</f>
        <v>Inland Gas General Service - Residential</v>
      </c>
      <c r="C24" s="240">
        <f>'Sch M 2.2'!Q101</f>
        <v>36</v>
      </c>
      <c r="D24" s="477">
        <f>'Sch M 2.2'!Q102</f>
        <v>333.60000000000008</v>
      </c>
      <c r="E24" s="240">
        <f>'Sch M 2.2'!Q105</f>
        <v>200.16</v>
      </c>
      <c r="F24" s="765">
        <v>0</v>
      </c>
      <c r="G24" s="236">
        <f t="shared" si="3"/>
        <v>200.16</v>
      </c>
      <c r="H24" s="286">
        <f>'Sch M 2.3'!Q104</f>
        <v>200.16</v>
      </c>
      <c r="I24" s="470">
        <f t="shared" si="0"/>
        <v>0</v>
      </c>
      <c r="J24" s="290">
        <f t="shared" si="1"/>
        <v>0</v>
      </c>
      <c r="K24" s="747"/>
      <c r="M24" s="747"/>
    </row>
    <row r="25" spans="1:13" x14ac:dyDescent="0.2">
      <c r="A25" s="219">
        <f t="shared" si="2"/>
        <v>8</v>
      </c>
      <c r="B25" s="219" t="str">
        <f>Input!B26</f>
        <v xml:space="preserve">LG&amp;E Residential </v>
      </c>
      <c r="C25" s="240">
        <f>'Sch M 2.2'!Q130</f>
        <v>12</v>
      </c>
      <c r="D25" s="477">
        <f>'Sch M 2.2'!Q131</f>
        <v>605.19999999999993</v>
      </c>
      <c r="E25" s="240">
        <f>'Sch M 2.2'!Q134</f>
        <v>211.84000000000003</v>
      </c>
      <c r="F25" s="765">
        <v>0</v>
      </c>
      <c r="G25" s="236">
        <f t="shared" si="3"/>
        <v>211.84000000000003</v>
      </c>
      <c r="H25" s="286">
        <f>'Sch M 2.3'!Q131</f>
        <v>211.84000000000003</v>
      </c>
      <c r="I25" s="470">
        <f t="shared" si="0"/>
        <v>0</v>
      </c>
      <c r="J25" s="290">
        <f t="shared" si="1"/>
        <v>0</v>
      </c>
      <c r="K25" s="747"/>
      <c r="L25" s="747"/>
      <c r="M25" s="747"/>
    </row>
    <row r="26" spans="1:13" x14ac:dyDescent="0.2">
      <c r="A26" s="219">
        <f t="shared" si="2"/>
        <v>9</v>
      </c>
      <c r="B26" s="219" t="str">
        <f>Input!B27</f>
        <v>LG&amp;E Commercial</v>
      </c>
      <c r="C26" s="240">
        <f>'Sch M 2.2'!Q137</f>
        <v>12</v>
      </c>
      <c r="D26" s="477">
        <f>'Sch M 2.2'!Q138</f>
        <v>710.9</v>
      </c>
      <c r="E26" s="240">
        <f>'Sch M 2.2'!Q141</f>
        <v>248.84000000000003</v>
      </c>
      <c r="F26" s="765">
        <v>0</v>
      </c>
      <c r="G26" s="236">
        <f t="shared" si="3"/>
        <v>248.84000000000003</v>
      </c>
      <c r="H26" s="286">
        <f>'Sch M 2.3'!Q138</f>
        <v>248.84000000000003</v>
      </c>
      <c r="I26" s="470">
        <f t="shared" si="0"/>
        <v>0</v>
      </c>
      <c r="J26" s="290">
        <f t="shared" si="1"/>
        <v>0</v>
      </c>
      <c r="K26" s="226"/>
      <c r="L26" s="226"/>
      <c r="M26" s="226"/>
    </row>
    <row r="27" spans="1:13" x14ac:dyDescent="0.2">
      <c r="A27" s="219">
        <f t="shared" si="2"/>
        <v>10</v>
      </c>
      <c r="B27" s="219" t="str">
        <f>Input!B28</f>
        <v>LG&amp;E Residential</v>
      </c>
      <c r="C27" s="240">
        <f>'Sch M 2.2'!Q144</f>
        <v>12</v>
      </c>
      <c r="D27" s="477">
        <f>'Sch M 2.2'!Q145</f>
        <v>714.1</v>
      </c>
      <c r="E27" s="240">
        <f>'Sch M 2.2'!Q148</f>
        <v>255.82</v>
      </c>
      <c r="F27" s="765">
        <v>0</v>
      </c>
      <c r="G27" s="236">
        <f t="shared" si="3"/>
        <v>255.82</v>
      </c>
      <c r="H27" s="286">
        <f>'Sch M 2.3'!Q145</f>
        <v>255.82</v>
      </c>
      <c r="I27" s="470">
        <f t="shared" si="0"/>
        <v>0</v>
      </c>
      <c r="J27" s="290">
        <f t="shared" si="1"/>
        <v>0</v>
      </c>
      <c r="K27" s="747"/>
      <c r="L27" s="747"/>
      <c r="M27" s="747"/>
    </row>
    <row r="28" spans="1:13" x14ac:dyDescent="0.2">
      <c r="A28" s="219">
        <f t="shared" si="2"/>
        <v>11</v>
      </c>
      <c r="B28" s="219" t="str">
        <f>Input!B29</f>
        <v>LG&amp;E Residential</v>
      </c>
      <c r="C28" s="240">
        <f>'Sch M 2.2'!Q151</f>
        <v>12</v>
      </c>
      <c r="D28" s="477">
        <f>'Sch M 2.2'!Q152</f>
        <v>257.59999999999997</v>
      </c>
      <c r="E28" s="240">
        <f>'Sch M 2.2'!Q155</f>
        <v>103.04000000000002</v>
      </c>
      <c r="F28" s="765">
        <v>0</v>
      </c>
      <c r="G28" s="236">
        <f t="shared" si="3"/>
        <v>103.04000000000002</v>
      </c>
      <c r="H28" s="286">
        <f>'Sch M 2.3'!Q152</f>
        <v>103.04000000000002</v>
      </c>
      <c r="I28" s="470">
        <f t="shared" si="0"/>
        <v>0</v>
      </c>
      <c r="J28" s="290">
        <f t="shared" si="1"/>
        <v>0</v>
      </c>
      <c r="K28" s="231"/>
    </row>
    <row r="29" spans="1:13" x14ac:dyDescent="0.2">
      <c r="A29" s="219">
        <f t="shared" si="2"/>
        <v>12</v>
      </c>
      <c r="B29" s="219" t="str">
        <f>Input!B30</f>
        <v>General Service - Commercial</v>
      </c>
      <c r="C29" s="240">
        <f>'Sch M 2.2'!Q158</f>
        <v>119233</v>
      </c>
      <c r="D29" s="477">
        <f>'Sch M 2.2'!Q159</f>
        <v>3098215.1</v>
      </c>
      <c r="E29" s="240">
        <f>'Sch M 2.2'!Q162</f>
        <v>18479342.059999999</v>
      </c>
      <c r="F29" s="795">
        <f>ROUND(D29*(Input!$AA$19-Input!$N$19),2)</f>
        <v>30982.15</v>
      </c>
      <c r="G29" s="236">
        <f>E29+F29</f>
        <v>18510324.209999997</v>
      </c>
      <c r="H29" s="286">
        <f>'Sch M 2.3'!Q159</f>
        <v>20494185.650000002</v>
      </c>
      <c r="I29" s="470">
        <f t="shared" si="0"/>
        <v>1983861.4400000051</v>
      </c>
      <c r="J29" s="290">
        <f t="shared" si="1"/>
        <v>10.74</v>
      </c>
      <c r="K29" s="767"/>
      <c r="L29" s="767"/>
    </row>
    <row r="30" spans="1:13" x14ac:dyDescent="0.2">
      <c r="A30" s="219">
        <f t="shared" si="2"/>
        <v>13</v>
      </c>
      <c r="B30" s="219" t="str">
        <f>Input!B31</f>
        <v>General Service - Industrial</v>
      </c>
      <c r="C30" s="240">
        <f>'Sch M 2.2'!Q186</f>
        <v>524</v>
      </c>
      <c r="D30" s="477">
        <f>'Sch M 2.2'!Q187</f>
        <v>360250.5</v>
      </c>
      <c r="E30" s="240">
        <f>'Sch M 2.2'!Q190</f>
        <v>1407299.0899999999</v>
      </c>
      <c r="F30" s="795">
        <f>ROUND(D30*(Input!$AA$19-Input!$N$19),2)</f>
        <v>3602.51</v>
      </c>
      <c r="G30" s="236">
        <f t="shared" si="3"/>
        <v>1410901.5999999999</v>
      </c>
      <c r="H30" s="286">
        <f>'Sch M 2.3'!Q186</f>
        <v>1607294.24</v>
      </c>
      <c r="I30" s="470">
        <f t="shared" si="0"/>
        <v>196392.64000000013</v>
      </c>
      <c r="J30" s="290">
        <f t="shared" si="1"/>
        <v>13.96</v>
      </c>
    </row>
    <row r="31" spans="1:13" x14ac:dyDescent="0.2">
      <c r="A31" s="219">
        <f t="shared" si="2"/>
        <v>14</v>
      </c>
      <c r="B31" s="219" t="str">
        <f>Input!B36</f>
        <v>Interruptible Service - Industrial</v>
      </c>
      <c r="C31" s="240">
        <f>'Sch M 2.2'!Q193</f>
        <v>0</v>
      </c>
      <c r="D31" s="477">
        <f>'Sch M 2.2'!Q194</f>
        <v>0</v>
      </c>
      <c r="E31" s="240">
        <f>'Sch M 2.2'!Q197</f>
        <v>0</v>
      </c>
      <c r="F31" s="795">
        <f>ROUND(D31*(Input!$AA$19-Input!$N$19),2)</f>
        <v>0</v>
      </c>
      <c r="G31" s="236">
        <f t="shared" si="3"/>
        <v>0</v>
      </c>
      <c r="H31" s="286">
        <f>'Sch M 2.3'!Q193</f>
        <v>0</v>
      </c>
      <c r="I31" s="781">
        <f t="shared" si="0"/>
        <v>0</v>
      </c>
      <c r="J31" s="290">
        <f t="shared" si="1"/>
        <v>0</v>
      </c>
      <c r="K31" s="769"/>
      <c r="L31" s="770"/>
      <c r="M31" s="769"/>
    </row>
    <row r="32" spans="1:13" x14ac:dyDescent="0.2">
      <c r="A32" s="219">
        <f t="shared" si="2"/>
        <v>15</v>
      </c>
      <c r="B32" s="219" t="str">
        <f>Input!B37</f>
        <v>Intrastate Utility Service - Wholesale</v>
      </c>
      <c r="C32" s="240">
        <f>'Sch M 2.2'!Q200</f>
        <v>24</v>
      </c>
      <c r="D32" s="477">
        <f>'Sch M 2.2'!Q201</f>
        <v>11320.699999999999</v>
      </c>
      <c r="E32" s="240">
        <f>'Sch M 2.2'!Q204</f>
        <v>47711.12000000001</v>
      </c>
      <c r="F32" s="795">
        <f>ROUND(D32*(Input!$AA$19-Input!$N$19),2)</f>
        <v>113.21</v>
      </c>
      <c r="G32" s="236">
        <f t="shared" si="3"/>
        <v>47824.330000000009</v>
      </c>
      <c r="H32" s="286">
        <f>'Sch M 2.3'!Q200</f>
        <v>52092.13</v>
      </c>
      <c r="I32" s="781">
        <f t="shared" si="0"/>
        <v>4267.7999999999884</v>
      </c>
      <c r="J32" s="290">
        <f t="shared" si="1"/>
        <v>8.9499999999999993</v>
      </c>
      <c r="K32" s="771"/>
      <c r="L32" s="772"/>
      <c r="M32" s="771"/>
    </row>
    <row r="33" spans="1:13" x14ac:dyDescent="0.2">
      <c r="D33" s="477"/>
      <c r="E33" s="773"/>
      <c r="F33" s="773"/>
      <c r="G33" s="773"/>
      <c r="H33" s="892"/>
      <c r="I33" s="288"/>
      <c r="J33" s="768"/>
      <c r="K33" s="769"/>
      <c r="L33" s="770"/>
      <c r="M33" s="769"/>
    </row>
    <row r="34" spans="1:13" x14ac:dyDescent="0.2">
      <c r="A34" s="219">
        <f>A32+1</f>
        <v>16</v>
      </c>
      <c r="B34" s="438" t="s">
        <v>95</v>
      </c>
      <c r="C34" s="438"/>
      <c r="D34" s="477"/>
      <c r="E34" s="773"/>
      <c r="F34" s="773"/>
      <c r="G34" s="773"/>
      <c r="H34" s="892"/>
      <c r="I34" s="288"/>
      <c r="J34" s="768"/>
      <c r="K34" s="769"/>
      <c r="L34" s="770"/>
      <c r="M34" s="769"/>
    </row>
    <row r="35" spans="1:13" x14ac:dyDescent="0.2">
      <c r="D35" s="477"/>
      <c r="E35" s="773"/>
      <c r="F35" s="773"/>
      <c r="G35" s="773"/>
      <c r="H35" s="892"/>
      <c r="I35" s="288"/>
      <c r="J35" s="768"/>
      <c r="K35" s="769"/>
      <c r="L35" s="770"/>
      <c r="M35" s="769"/>
    </row>
    <row r="36" spans="1:13" x14ac:dyDescent="0.2">
      <c r="A36" s="219">
        <f>A34+1</f>
        <v>17</v>
      </c>
      <c r="B36" s="219" t="str">
        <f>Input!B41</f>
        <v xml:space="preserve">GTS Choice - Residential </v>
      </c>
      <c r="C36" s="240">
        <f>'Sch M 2.2'!Q228</f>
        <v>281946</v>
      </c>
      <c r="D36" s="477">
        <f>'Sch M 2.2'!Q229</f>
        <v>1707000</v>
      </c>
      <c r="E36" s="240">
        <f>'Sch M 2.2'!Q232</f>
        <v>9029105.3399999999</v>
      </c>
      <c r="F36" s="765">
        <v>0</v>
      </c>
      <c r="G36" s="236">
        <f t="shared" ref="G36:G49" si="4">E36+F36</f>
        <v>9029105.3399999999</v>
      </c>
      <c r="H36" s="286">
        <f>'Sch M 2.3'!Q227</f>
        <v>10940325.539999999</v>
      </c>
      <c r="I36" s="470">
        <f t="shared" ref="I36:I49" si="5">H36-G36</f>
        <v>1911220.1999999993</v>
      </c>
      <c r="J36" s="290">
        <f t="shared" ref="J36:J49" si="6">IF(E36=0,0,ROUND(I36/E36,4)*100)</f>
        <v>21.17</v>
      </c>
      <c r="K36" s="769"/>
      <c r="L36" s="771"/>
      <c r="M36" s="769"/>
    </row>
    <row r="37" spans="1:13" x14ac:dyDescent="0.2">
      <c r="A37" s="219">
        <f t="shared" si="2"/>
        <v>18</v>
      </c>
      <c r="B37" s="219" t="str">
        <f>Input!B42</f>
        <v>GTS Choice - Commercial</v>
      </c>
      <c r="C37" s="240">
        <f>'Sch M 2.2'!Q235</f>
        <v>47445</v>
      </c>
      <c r="D37" s="477">
        <f>'Sch M 2.2'!Q236</f>
        <v>1859990.8000000003</v>
      </c>
      <c r="E37" s="240">
        <f>'Sch M 2.2'!Q239</f>
        <v>5787037.3699999992</v>
      </c>
      <c r="F37" s="765">
        <v>0</v>
      </c>
      <c r="G37" s="236">
        <f t="shared" si="4"/>
        <v>5787037.3699999992</v>
      </c>
      <c r="H37" s="286">
        <f>'Sch M 2.3'!Q234</f>
        <v>6974542.290000001</v>
      </c>
      <c r="I37" s="286">
        <f t="shared" si="5"/>
        <v>1187504.9200000018</v>
      </c>
      <c r="J37" s="290">
        <f t="shared" si="6"/>
        <v>20.52</v>
      </c>
      <c r="K37" s="769"/>
      <c r="L37" s="769"/>
      <c r="M37" s="769"/>
    </row>
    <row r="38" spans="1:13" x14ac:dyDescent="0.2">
      <c r="A38" s="219">
        <f t="shared" si="2"/>
        <v>19</v>
      </c>
      <c r="B38" s="219" t="str">
        <f>Input!B43</f>
        <v>GTS Choice - Industrial</v>
      </c>
      <c r="C38" s="240">
        <f>'Sch M 2.2'!Q242</f>
        <v>149</v>
      </c>
      <c r="D38" s="477">
        <f>'Sch M 2.2'!Q243</f>
        <v>71999.899999999994</v>
      </c>
      <c r="E38" s="240">
        <f>'Sch M 2.2'!Q246</f>
        <v>127654.24000000002</v>
      </c>
      <c r="F38" s="765">
        <v>0</v>
      </c>
      <c r="G38" s="236">
        <f t="shared" si="4"/>
        <v>127654.24000000002</v>
      </c>
      <c r="H38" s="286">
        <f>'Sch M 2.3'!Q241</f>
        <v>168416.88</v>
      </c>
      <c r="I38" s="286">
        <f t="shared" si="5"/>
        <v>40762.639999999985</v>
      </c>
      <c r="J38" s="290">
        <f t="shared" si="6"/>
        <v>31.929999999999996</v>
      </c>
      <c r="K38" s="769"/>
      <c r="L38" s="769"/>
      <c r="M38" s="769"/>
    </row>
    <row r="39" spans="1:13" x14ac:dyDescent="0.2">
      <c r="A39" s="219">
        <f t="shared" si="2"/>
        <v>20</v>
      </c>
      <c r="B39" s="219" t="str">
        <f>Input!B44</f>
        <v>GTS Delivery Service - Commercial</v>
      </c>
      <c r="C39" s="240">
        <f>'Sch M 2.2'!Q249</f>
        <v>428</v>
      </c>
      <c r="D39" s="477">
        <f>'Sch M 2.2'!Q250</f>
        <v>1380569.9999999998</v>
      </c>
      <c r="E39" s="240">
        <f>'Sch M 2.2'!Q253</f>
        <v>1398811.3699999999</v>
      </c>
      <c r="F39" s="765">
        <v>0</v>
      </c>
      <c r="G39" s="236">
        <f t="shared" si="4"/>
        <v>1398811.3699999999</v>
      </c>
      <c r="H39" s="286">
        <f>'Sch M 2.3'!Q248</f>
        <v>1731654.2999999998</v>
      </c>
      <c r="I39" s="286">
        <f t="shared" si="5"/>
        <v>332842.92999999993</v>
      </c>
      <c r="J39" s="290">
        <f t="shared" si="6"/>
        <v>23.79</v>
      </c>
      <c r="L39" s="769"/>
      <c r="M39" s="769"/>
    </row>
    <row r="40" spans="1:13" x14ac:dyDescent="0.2">
      <c r="A40" s="219">
        <f t="shared" si="2"/>
        <v>21</v>
      </c>
      <c r="B40" s="219" t="str">
        <f>Input!B45</f>
        <v>GTS Delivery Service - Industrial</v>
      </c>
      <c r="C40" s="240">
        <f>'Sch M 2.2'!Q256</f>
        <v>468</v>
      </c>
      <c r="D40" s="477">
        <f>'Sch M 2.2'!Q257</f>
        <v>5517297.4000000004</v>
      </c>
      <c r="E40" s="240">
        <f>'Sch M 2.2'!Q260</f>
        <v>3222464.1300000004</v>
      </c>
      <c r="F40" s="765">
        <v>0</v>
      </c>
      <c r="G40" s="236">
        <f t="shared" si="4"/>
        <v>3222464.1300000004</v>
      </c>
      <c r="H40" s="286">
        <f>'Sch M 2.3'!Q255</f>
        <v>3911535.7200000007</v>
      </c>
      <c r="I40" s="286">
        <f t="shared" si="5"/>
        <v>689071.59000000032</v>
      </c>
      <c r="J40" s="290">
        <f t="shared" si="6"/>
        <v>21.38</v>
      </c>
      <c r="L40" s="769"/>
      <c r="M40" s="769"/>
    </row>
    <row r="41" spans="1:13" x14ac:dyDescent="0.2">
      <c r="A41" s="219">
        <f t="shared" si="2"/>
        <v>22</v>
      </c>
      <c r="B41" s="219" t="str">
        <f>Input!B46</f>
        <v>GTS Grandfathered Delivery Service - Commercial</v>
      </c>
      <c r="C41" s="240">
        <f>'Sch M 2.2'!Q263</f>
        <v>145</v>
      </c>
      <c r="D41" s="477">
        <f>'Sch M 2.2'!Q264</f>
        <v>203630.5</v>
      </c>
      <c r="E41" s="240">
        <f>'Sch M 2.2'!Q267</f>
        <v>351127.13</v>
      </c>
      <c r="F41" s="765">
        <v>0</v>
      </c>
      <c r="G41" s="236">
        <f t="shared" si="4"/>
        <v>351127.13</v>
      </c>
      <c r="H41" s="286">
        <f>'Sch M 2.3'!Q262</f>
        <v>456701.10000000003</v>
      </c>
      <c r="I41" s="286">
        <f t="shared" si="5"/>
        <v>105573.97000000003</v>
      </c>
      <c r="J41" s="290">
        <f t="shared" si="6"/>
        <v>30.070000000000004</v>
      </c>
      <c r="M41" s="766"/>
    </row>
    <row r="42" spans="1:13" x14ac:dyDescent="0.2">
      <c r="A42" s="219">
        <f t="shared" si="2"/>
        <v>23</v>
      </c>
      <c r="B42" s="219" t="str">
        <f>Input!B47</f>
        <v>GTS Grandfathered Delivery Service - Industrial</v>
      </c>
      <c r="C42" s="240">
        <f>'Sch M 2.2'!Q290</f>
        <v>180</v>
      </c>
      <c r="D42" s="477">
        <f>'Sch M 2.2'!Q291</f>
        <v>154467.9</v>
      </c>
      <c r="E42" s="240">
        <f>'Sch M 2.2'!Q294</f>
        <v>276061.19</v>
      </c>
      <c r="F42" s="765">
        <v>0</v>
      </c>
      <c r="G42" s="236">
        <f t="shared" si="4"/>
        <v>276061.19</v>
      </c>
      <c r="H42" s="286">
        <f>'Sch M 2.3'!Q290</f>
        <v>353055.76999999996</v>
      </c>
      <c r="I42" s="286">
        <f t="shared" si="5"/>
        <v>76994.579999999958</v>
      </c>
      <c r="J42" s="290">
        <f t="shared" si="6"/>
        <v>27.889999999999997</v>
      </c>
      <c r="M42" s="774"/>
    </row>
    <row r="43" spans="1:13" x14ac:dyDescent="0.2">
      <c r="A43" s="219">
        <f t="shared" si="2"/>
        <v>24</v>
      </c>
      <c r="B43" s="219" t="str">
        <f>Input!B48</f>
        <v>GTS Main Line Service - Industrial</v>
      </c>
      <c r="C43" s="240">
        <f>'Sch M 2.2'!Q297</f>
        <v>36</v>
      </c>
      <c r="D43" s="477">
        <f>'Sch M 2.2'!Q298</f>
        <v>680981</v>
      </c>
      <c r="E43" s="240">
        <f>'Sch M 2.2'!Q301</f>
        <v>67640.579999999987</v>
      </c>
      <c r="F43" s="765">
        <v>0</v>
      </c>
      <c r="G43" s="236">
        <f t="shared" si="4"/>
        <v>67640.579999999987</v>
      </c>
      <c r="H43" s="286">
        <f>'Sch M 2.3'!Q297</f>
        <v>67640.579999999987</v>
      </c>
      <c r="I43" s="286">
        <f t="shared" si="5"/>
        <v>0</v>
      </c>
      <c r="J43" s="290">
        <f t="shared" si="6"/>
        <v>0</v>
      </c>
      <c r="L43" s="769"/>
      <c r="M43" s="769"/>
    </row>
    <row r="44" spans="1:13" x14ac:dyDescent="0.2">
      <c r="A44" s="219">
        <f t="shared" si="2"/>
        <v>25</v>
      </c>
      <c r="B44" s="219" t="str">
        <f>Input!B49</f>
        <v>GTS Flex Rate - Commercial</v>
      </c>
      <c r="C44" s="240">
        <f>'Sch M 2.2'!Q304</f>
        <v>12</v>
      </c>
      <c r="D44" s="477">
        <f>'Sch M 2.2'!Q305</f>
        <v>541812</v>
      </c>
      <c r="E44" s="240">
        <f>'Sch M 2.2'!Q308</f>
        <v>224062.07999999999</v>
      </c>
      <c r="F44" s="765">
        <v>0</v>
      </c>
      <c r="G44" s="236">
        <f t="shared" si="4"/>
        <v>224062.07999999999</v>
      </c>
      <c r="H44" s="240">
        <f>'Sch M 2.3'!Q304</f>
        <v>224062.07999999999</v>
      </c>
      <c r="I44" s="286">
        <f t="shared" si="5"/>
        <v>0</v>
      </c>
      <c r="J44" s="290">
        <f t="shared" si="6"/>
        <v>0</v>
      </c>
      <c r="L44" s="769"/>
      <c r="M44" s="769"/>
    </row>
    <row r="45" spans="1:13" x14ac:dyDescent="0.2">
      <c r="A45" s="219">
        <f>A44+1</f>
        <v>26</v>
      </c>
      <c r="B45" s="219" t="str">
        <f>Input!B50</f>
        <v>GTS Flex Rate - Commercial</v>
      </c>
      <c r="C45" s="240">
        <f>'Sch M 2.2'!Q311</f>
        <v>12</v>
      </c>
      <c r="D45" s="477">
        <f>'Sch M 2.2'!Q312</f>
        <v>533988</v>
      </c>
      <c r="E45" s="240">
        <f>'Sch M 2.2'!Q315</f>
        <v>221010.72000000003</v>
      </c>
      <c r="F45" s="765">
        <v>0</v>
      </c>
      <c r="G45" s="236">
        <f t="shared" si="4"/>
        <v>221010.72000000003</v>
      </c>
      <c r="H45" s="240">
        <f>'Sch M 2.3'!Q311</f>
        <v>221010.72000000003</v>
      </c>
      <c r="I45" s="286">
        <f t="shared" si="5"/>
        <v>0</v>
      </c>
      <c r="J45" s="290">
        <f t="shared" si="6"/>
        <v>0</v>
      </c>
      <c r="K45" s="747"/>
      <c r="L45" s="775"/>
      <c r="M45" s="775"/>
    </row>
    <row r="46" spans="1:13" x14ac:dyDescent="0.2">
      <c r="A46" s="219">
        <f>A45+1</f>
        <v>27</v>
      </c>
      <c r="B46" s="219" t="str">
        <f>Input!B51</f>
        <v>GTS Flex Rate - Industrial</v>
      </c>
      <c r="C46" s="240">
        <f>'Sch M 2.2'!Q318</f>
        <v>36</v>
      </c>
      <c r="D46" s="477">
        <f>'Sch M 2.2'!Q319</f>
        <v>4689510</v>
      </c>
      <c r="E46" s="240">
        <f>'Sch M 2.2'!Q322</f>
        <v>411572.36</v>
      </c>
      <c r="F46" s="765">
        <v>0</v>
      </c>
      <c r="G46" s="236">
        <f t="shared" si="4"/>
        <v>411572.36</v>
      </c>
      <c r="H46" s="240">
        <f>'Sch M 2.3'!Q318</f>
        <v>411572.36</v>
      </c>
      <c r="I46" s="286">
        <f t="shared" si="5"/>
        <v>0</v>
      </c>
      <c r="J46" s="290">
        <f t="shared" si="6"/>
        <v>0</v>
      </c>
      <c r="K46" s="231"/>
      <c r="L46" s="769"/>
      <c r="M46" s="769"/>
    </row>
    <row r="47" spans="1:13" x14ac:dyDescent="0.2">
      <c r="A47" s="219">
        <f>A46+1</f>
        <v>28</v>
      </c>
      <c r="B47" s="219" t="str">
        <f>Input!B52</f>
        <v>GTS Flex Rate - Industrial</v>
      </c>
      <c r="C47" s="240">
        <f>'Sch M 2.2'!Q325</f>
        <v>12</v>
      </c>
      <c r="D47" s="477">
        <f>'Sch M 2.2'!Q326</f>
        <v>420000</v>
      </c>
      <c r="E47" s="240">
        <f>'Sch M 2.2'!Q329</f>
        <v>192155.4</v>
      </c>
      <c r="F47" s="765">
        <v>0</v>
      </c>
      <c r="G47" s="236">
        <f t="shared" si="4"/>
        <v>192155.4</v>
      </c>
      <c r="H47" s="240">
        <f>'Sch M 2.3'!Q325</f>
        <v>192155.4</v>
      </c>
      <c r="I47" s="286">
        <f t="shared" si="5"/>
        <v>0</v>
      </c>
      <c r="J47" s="290">
        <f t="shared" si="6"/>
        <v>0</v>
      </c>
      <c r="L47" s="769"/>
      <c r="M47" s="769"/>
    </row>
    <row r="48" spans="1:13" x14ac:dyDescent="0.2">
      <c r="A48" s="219">
        <f>A47+1</f>
        <v>29</v>
      </c>
      <c r="B48" s="219" t="str">
        <f>Input!B53</f>
        <v>GTS Special Agency Service</v>
      </c>
      <c r="C48" s="240">
        <f>'Sch M 2.2'!Q352</f>
        <v>0</v>
      </c>
      <c r="D48" s="245">
        <f>'Sch M 2.2'!Q353</f>
        <v>0</v>
      </c>
      <c r="E48" s="240">
        <f>'Sch M 2.2'!Q356</f>
        <v>0</v>
      </c>
      <c r="F48" s="765">
        <v>0</v>
      </c>
      <c r="G48" s="236">
        <f t="shared" si="4"/>
        <v>0</v>
      </c>
      <c r="H48" s="240">
        <f>'Sch M 2.3'!Q352</f>
        <v>0</v>
      </c>
      <c r="I48" s="286">
        <f t="shared" si="5"/>
        <v>0</v>
      </c>
      <c r="J48" s="290">
        <f t="shared" si="6"/>
        <v>0</v>
      </c>
      <c r="K48" s="769"/>
      <c r="L48" s="769"/>
      <c r="M48" s="769"/>
    </row>
    <row r="49" spans="1:13" x14ac:dyDescent="0.2">
      <c r="A49" s="219">
        <f>A48+1</f>
        <v>30</v>
      </c>
      <c r="B49" s="219" t="str">
        <f>Input!B54</f>
        <v>GTS Special Rate - Industrial</v>
      </c>
      <c r="C49" s="431">
        <f>'Sch M 2.2'!Q359</f>
        <v>12</v>
      </c>
      <c r="D49" s="477">
        <f>'Sch M 2.2'!Q360</f>
        <v>1580000</v>
      </c>
      <c r="E49" s="431">
        <f>'Sch M 2.2'!Q363</f>
        <v>666000.40000000014</v>
      </c>
      <c r="F49" s="776">
        <v>0</v>
      </c>
      <c r="G49" s="431">
        <f t="shared" si="4"/>
        <v>666000.40000000014</v>
      </c>
      <c r="H49" s="431">
        <f>'Sch M 2.3'!Q359</f>
        <v>666000.40000000014</v>
      </c>
      <c r="I49" s="431">
        <f t="shared" si="5"/>
        <v>0</v>
      </c>
      <c r="J49" s="463">
        <f t="shared" si="6"/>
        <v>0</v>
      </c>
      <c r="K49" s="769"/>
      <c r="L49" s="769"/>
      <c r="M49" s="769"/>
    </row>
    <row r="50" spans="1:13" x14ac:dyDescent="0.2">
      <c r="D50" s="477"/>
      <c r="E50" s="769"/>
      <c r="F50" s="769"/>
      <c r="G50" s="769"/>
      <c r="H50" s="769"/>
      <c r="I50" s="240"/>
      <c r="J50" s="768"/>
      <c r="K50" s="769"/>
      <c r="L50" s="769"/>
      <c r="M50" s="769"/>
    </row>
    <row r="51" spans="1:13" x14ac:dyDescent="0.2">
      <c r="A51" s="219">
        <f>A49+1</f>
        <v>31</v>
      </c>
      <c r="B51" s="219" t="s">
        <v>106</v>
      </c>
      <c r="C51" s="769">
        <f t="shared" ref="C51:I51" si="7">SUM(C19:C49)</f>
        <v>1631753</v>
      </c>
      <c r="D51" s="777">
        <f>SUM(D19:D49)</f>
        <v>29066442.600000001</v>
      </c>
      <c r="E51" s="427">
        <f t="shared" si="7"/>
        <v>91552628.140000015</v>
      </c>
      <c r="F51" s="427">
        <f t="shared" si="7"/>
        <v>97178.68</v>
      </c>
      <c r="G51" s="427">
        <f t="shared" si="7"/>
        <v>91649806.819999993</v>
      </c>
      <c r="H51" s="427">
        <f t="shared" si="7"/>
        <v>104988046.56999999</v>
      </c>
      <c r="I51" s="427">
        <f t="shared" si="7"/>
        <v>13338239.75</v>
      </c>
      <c r="J51" s="290">
        <f>IF(E51=0,0,ROUND(I51/E51,4)*100)</f>
        <v>14.57</v>
      </c>
      <c r="K51" s="771"/>
      <c r="L51" s="771"/>
      <c r="M51" s="771"/>
    </row>
    <row r="52" spans="1:13" x14ac:dyDescent="0.2">
      <c r="E52" s="769"/>
      <c r="F52" s="769"/>
      <c r="G52" s="769"/>
      <c r="H52" s="769"/>
      <c r="J52" s="768"/>
      <c r="K52" s="769"/>
      <c r="L52" s="769"/>
      <c r="M52" s="769"/>
    </row>
    <row r="53" spans="1:13" x14ac:dyDescent="0.2">
      <c r="A53" s="219">
        <f>A51+1</f>
        <v>32</v>
      </c>
      <c r="B53" s="438" t="s">
        <v>102</v>
      </c>
      <c r="C53" s="438"/>
      <c r="D53" s="438"/>
      <c r="E53" s="769"/>
      <c r="F53" s="769"/>
      <c r="G53" s="769"/>
      <c r="H53" s="769"/>
      <c r="J53" s="768"/>
      <c r="K53" s="769"/>
      <c r="L53" s="769"/>
      <c r="M53" s="769"/>
    </row>
    <row r="54" spans="1:13" x14ac:dyDescent="0.2">
      <c r="E54" s="769"/>
      <c r="F54" s="769"/>
      <c r="G54" s="769"/>
      <c r="H54" s="769"/>
      <c r="J54" s="768"/>
      <c r="K54" s="769"/>
      <c r="L54" s="769"/>
      <c r="M54" s="769"/>
    </row>
    <row r="55" spans="1:13" x14ac:dyDescent="0.2">
      <c r="A55" s="219">
        <f>A53+1</f>
        <v>33</v>
      </c>
      <c r="B55" s="219" t="s">
        <v>180</v>
      </c>
      <c r="E55" s="427">
        <f>'Sch M 2.2'!Q369</f>
        <v>476000</v>
      </c>
      <c r="F55" s="510">
        <v>0</v>
      </c>
      <c r="G55" s="236">
        <f>E55+F55</f>
        <v>476000</v>
      </c>
      <c r="H55" s="769">
        <f>'Sch M 2.3'!Q29</f>
        <v>545732</v>
      </c>
      <c r="I55" s="427">
        <f>H55-G55</f>
        <v>69732</v>
      </c>
      <c r="J55" s="290">
        <f>IF(E55=0,0,ROUND(I55/E55,4)*100)</f>
        <v>14.649999999999999</v>
      </c>
      <c r="K55" s="769"/>
      <c r="L55" s="769"/>
      <c r="M55" s="769"/>
    </row>
    <row r="56" spans="1:13" x14ac:dyDescent="0.2">
      <c r="A56" s="219">
        <f>A55+1</f>
        <v>34</v>
      </c>
      <c r="B56" s="219" t="s">
        <v>103</v>
      </c>
      <c r="E56" s="769">
        <f>'Sch M 2.2'!Q370</f>
        <v>137000</v>
      </c>
      <c r="F56" s="778">
        <v>0</v>
      </c>
      <c r="G56" s="236">
        <f>E56+F56</f>
        <v>137000</v>
      </c>
      <c r="H56" s="769">
        <f>'Sch M 2.3'!Q30</f>
        <v>137000</v>
      </c>
      <c r="I56" s="286">
        <f>H56-G56</f>
        <v>0</v>
      </c>
      <c r="J56" s="290">
        <f>IF(E56=0,0,ROUND(I56/E56,4)*100)</f>
        <v>0</v>
      </c>
      <c r="K56" s="769"/>
      <c r="L56" s="769"/>
      <c r="M56" s="769"/>
    </row>
    <row r="57" spans="1:13" x14ac:dyDescent="0.2">
      <c r="A57" s="219">
        <f>A56+1</f>
        <v>35</v>
      </c>
      <c r="B57" s="219" t="s">
        <v>318</v>
      </c>
      <c r="E57" s="769">
        <f>'Sch M 2.2'!Q371</f>
        <v>72000</v>
      </c>
      <c r="F57" s="778">
        <v>0</v>
      </c>
      <c r="G57" s="236">
        <f>E57+F57</f>
        <v>72000</v>
      </c>
      <c r="H57" s="769">
        <f>'Sch M 2.3'!Q31</f>
        <v>72000</v>
      </c>
      <c r="I57" s="286">
        <f>H57-G57</f>
        <v>0</v>
      </c>
      <c r="J57" s="290">
        <f>IF(E57=0,0,ROUND(I57/E57,4)*100)</f>
        <v>0</v>
      </c>
      <c r="K57" s="769"/>
      <c r="L57" s="769"/>
      <c r="M57" s="769"/>
    </row>
    <row r="58" spans="1:13" x14ac:dyDescent="0.2">
      <c r="A58" s="219">
        <f>A57+1</f>
        <v>36</v>
      </c>
      <c r="B58" s="219" t="s">
        <v>104</v>
      </c>
      <c r="E58" s="769">
        <f>'Sch M 2.2'!Q372</f>
        <v>0</v>
      </c>
      <c r="F58" s="778">
        <v>0</v>
      </c>
      <c r="G58" s="236">
        <f>E58+F58</f>
        <v>0</v>
      </c>
      <c r="H58" s="769">
        <f>'Sch M 2.3'!Q32</f>
        <v>0</v>
      </c>
      <c r="I58" s="286">
        <f>H58-G58</f>
        <v>0</v>
      </c>
      <c r="J58" s="290">
        <f>IF(E58=0,0,ROUND(I58/E58,4)*100)</f>
        <v>0</v>
      </c>
      <c r="K58" s="769"/>
      <c r="L58" s="769"/>
      <c r="M58" s="769"/>
    </row>
    <row r="59" spans="1:13" x14ac:dyDescent="0.2">
      <c r="A59" s="219">
        <f>A58+1</f>
        <v>37</v>
      </c>
      <c r="B59" s="219" t="s">
        <v>105</v>
      </c>
      <c r="E59" s="771">
        <f>'Sch M 2.2'!Q373</f>
        <v>515000</v>
      </c>
      <c r="F59" s="779">
        <v>0</v>
      </c>
      <c r="G59" s="431">
        <f>E59+F59</f>
        <v>515000</v>
      </c>
      <c r="H59" s="771">
        <f>'Sch M 2.3'!Q33</f>
        <v>515000</v>
      </c>
      <c r="I59" s="431">
        <f>H59-G59</f>
        <v>0</v>
      </c>
      <c r="J59" s="463">
        <f>IF(E59=0,0,ROUND(I59/E59,4)*100)</f>
        <v>0</v>
      </c>
      <c r="K59" s="769"/>
      <c r="L59" s="769"/>
      <c r="M59" s="769"/>
    </row>
    <row r="60" spans="1:13" x14ac:dyDescent="0.2">
      <c r="E60" s="769"/>
      <c r="F60" s="769"/>
      <c r="G60" s="769"/>
      <c r="H60" s="769"/>
      <c r="I60" s="769"/>
      <c r="J60" s="768"/>
      <c r="K60" s="777"/>
      <c r="L60" s="777"/>
      <c r="M60" s="777"/>
    </row>
    <row r="61" spans="1:13" x14ac:dyDescent="0.2">
      <c r="A61" s="219">
        <f>A59+1</f>
        <v>38</v>
      </c>
      <c r="B61" s="219" t="s">
        <v>125</v>
      </c>
      <c r="E61" s="427">
        <f>SUM(E55:E59)</f>
        <v>1200000</v>
      </c>
      <c r="F61" s="427">
        <f>SUM(F55:F59)</f>
        <v>0</v>
      </c>
      <c r="G61" s="427">
        <f>SUM(G55:G59)</f>
        <v>1200000</v>
      </c>
      <c r="H61" s="427">
        <f>SUM(H55:H59)</f>
        <v>1269732</v>
      </c>
      <c r="I61" s="427">
        <f>SUM(I55:I59)</f>
        <v>69732</v>
      </c>
      <c r="J61" s="290">
        <f>IF(E61=0,0,ROUND(I61/E61,4)*100)</f>
        <v>5.81</v>
      </c>
      <c r="K61" s="777"/>
      <c r="L61" s="769"/>
      <c r="M61" s="769"/>
    </row>
    <row r="62" spans="1:13" x14ac:dyDescent="0.2">
      <c r="E62" s="780"/>
      <c r="F62" s="780"/>
      <c r="G62" s="780"/>
      <c r="H62" s="769"/>
      <c r="I62" s="769"/>
      <c r="J62" s="768"/>
      <c r="K62" s="777"/>
      <c r="L62" s="769"/>
      <c r="M62" s="769"/>
    </row>
    <row r="63" spans="1:13" x14ac:dyDescent="0.2">
      <c r="A63" s="219">
        <f>A61+1</f>
        <v>39</v>
      </c>
      <c r="B63" s="219" t="s">
        <v>108</v>
      </c>
      <c r="E63" s="427">
        <f>E61+E51</f>
        <v>92752628.140000015</v>
      </c>
      <c r="F63" s="427">
        <f>F61+F51</f>
        <v>97178.68</v>
      </c>
      <c r="G63" s="427">
        <f>G61+G51</f>
        <v>92849806.819999993</v>
      </c>
      <c r="H63" s="427">
        <f>H61+H51</f>
        <v>106257778.56999999</v>
      </c>
      <c r="I63" s="427">
        <f>I61+I51</f>
        <v>13407971.75</v>
      </c>
      <c r="J63" s="290">
        <f>IF(E63=0,0,ROUND(I63/E63,4)*100)</f>
        <v>14.46</v>
      </c>
      <c r="K63" s="777"/>
      <c r="L63" s="769"/>
      <c r="M63" s="769"/>
    </row>
    <row r="64" spans="1:13" x14ac:dyDescent="0.2">
      <c r="E64" s="777"/>
      <c r="F64" s="777"/>
      <c r="G64" s="777"/>
      <c r="H64" s="777"/>
      <c r="I64" s="777"/>
      <c r="J64" s="768"/>
      <c r="K64" s="777"/>
      <c r="L64" s="777"/>
      <c r="M64" s="777"/>
    </row>
  </sheetData>
  <mergeCells count="5">
    <mergeCell ref="A1:J1"/>
    <mergeCell ref="A2:J2"/>
    <mergeCell ref="A3:J3"/>
    <mergeCell ref="A4:J4"/>
    <mergeCell ref="A5:J5"/>
  </mergeCells>
  <phoneticPr fontId="0" type="noConversion"/>
  <printOptions horizontalCentered="1"/>
  <pageMargins left="1" right="1" top="1" bottom="1" header="0.5" footer="0.5"/>
  <pageSetup scale="67" orientation="portrait" r:id="rId1"/>
  <headerFooter alignWithMargins="0">
    <oddHeader>&amp;RKY PSC Case No. 2016-0016
Attachment A to PSC 3-3(b)</oddHeader>
  </headerFooter>
  <rowBreaks count="1" manualBreakCount="1"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27</vt:i4>
      </vt:variant>
    </vt:vector>
  </HeadingPairs>
  <TitlesOfParts>
    <vt:vector size="43" baseType="lpstr">
      <vt:lpstr>INDEX M</vt:lpstr>
      <vt:lpstr>Input</vt:lpstr>
      <vt:lpstr>A</vt:lpstr>
      <vt:lpstr>B</vt:lpstr>
      <vt:lpstr>C</vt:lpstr>
      <vt:lpstr>D pg 1</vt:lpstr>
      <vt:lpstr>D pg 2</vt:lpstr>
      <vt:lpstr>Sch M</vt:lpstr>
      <vt:lpstr>Sch M 2.1</vt:lpstr>
      <vt:lpstr>Sch M 2.2</vt:lpstr>
      <vt:lpstr>Sch M 2.3</vt:lpstr>
      <vt:lpstr>Rate Design MPB-1</vt:lpstr>
      <vt:lpstr>Bill Comp MPB-4</vt:lpstr>
      <vt:lpstr>Late Payment MPB-2</vt:lpstr>
      <vt:lpstr>Rates MPB-3</vt:lpstr>
      <vt:lpstr>Revenue Proof</vt:lpstr>
      <vt:lpstr>case</vt:lpstr>
      <vt:lpstr>Commodity</vt:lpstr>
      <vt:lpstr>CONAME</vt:lpstr>
      <vt:lpstr>EGC</vt:lpstr>
      <vt:lpstr>EGCDATE</vt:lpstr>
      <vt:lpstr>firmcom</vt:lpstr>
      <vt:lpstr>firmdem</vt:lpstr>
      <vt:lpstr>HEAD</vt:lpstr>
      <vt:lpstr>A!Print_Area</vt:lpstr>
      <vt:lpstr>B!Print_Area</vt:lpstr>
      <vt:lpstr>'Bill Comp MPB-4'!Print_Area</vt:lpstr>
      <vt:lpstr>'C'!Print_Area</vt:lpstr>
      <vt:lpstr>'D pg 1'!Print_Area</vt:lpstr>
      <vt:lpstr>'D pg 2'!Print_Area</vt:lpstr>
      <vt:lpstr>'INDEX M'!Print_Area</vt:lpstr>
      <vt:lpstr>Input!Print_Area</vt:lpstr>
      <vt:lpstr>'Late Payment MPB-2'!Print_Area</vt:lpstr>
      <vt:lpstr>'Rate Design MPB-1'!Print_Area</vt:lpstr>
      <vt:lpstr>'Rates MPB-3'!Print_Area</vt:lpstr>
      <vt:lpstr>'Revenue Proof'!Print_Area</vt:lpstr>
      <vt:lpstr>'Sch M'!Print_Area</vt:lpstr>
      <vt:lpstr>'Sch M 2.1'!Print_Area</vt:lpstr>
      <vt:lpstr>'Sch M 2.2'!Print_Area</vt:lpstr>
      <vt:lpstr>'Sch M 2.3'!Print_Area</vt:lpstr>
      <vt:lpstr>Print_Area_MI</vt:lpstr>
      <vt:lpstr>TYDESC</vt:lpstr>
      <vt:lpstr>Witness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MacDonald \ Cheryl \ Ann</cp:lastModifiedBy>
  <cp:lastPrinted>2016-11-04T21:14:48Z</cp:lastPrinted>
  <dcterms:created xsi:type="dcterms:W3CDTF">1997-11-13T15:08:18Z</dcterms:created>
  <dcterms:modified xsi:type="dcterms:W3CDTF">2016-11-11T18:59:34Z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